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8955" tabRatio="962" activeTab="1"/>
  </bookViews>
  <sheets>
    <sheet name="Комментарии к смете 2013" sheetId="1" r:id="rId1"/>
    <sheet name="СМЕТА-2013 г." sheetId="2" r:id="rId2"/>
    <sheet name="2013 г -ПЛАН ср-ва от хоз.деят." sheetId="3" r:id="rId3"/>
    <sheet name="План мероприятий ТО и ТР-2013г." sheetId="4" r:id="rId4"/>
    <sheet name="ФАКТ смета-2012" sheetId="5" r:id="rId5"/>
    <sheet name="2012 - рем фонд и ИПТ" sheetId="6" r:id="rId6"/>
    <sheet name="расшифровка банк-2012" sheetId="7" r:id="rId7"/>
    <sheet name="комм.услуги-2012 г" sheetId="8" r:id="rId8"/>
  </sheets>
  <externalReferences>
    <externalReference r:id="rId11"/>
  </externalReferences>
  <definedNames>
    <definedName name="жилые">'[1]смета-2011 (диспетчер)'!$I$8</definedName>
    <definedName name="нежилые">'[1]смета-2011 (диспетчер)'!$L$8</definedName>
    <definedName name="паркинг">'[1]смета-2011 (диспетчер)'!$O$8</definedName>
  </definedNames>
  <calcPr fullCalcOnLoad="1"/>
</workbook>
</file>

<file path=xl/sharedStrings.xml><?xml version="1.0" encoding="utf-8"?>
<sst xmlns="http://schemas.openxmlformats.org/spreadsheetml/2006/main" count="730" uniqueCount="506">
  <si>
    <t>Товарищество собственников жилья «Декабристов 75»</t>
  </si>
  <si>
    <t>620142, Российская Федерация, Свердловская область, г. Екатеринбург, ул. Декабристов, дом 75</t>
  </si>
  <si>
    <t>Общее собрание членов ТСЖ "Декабристов 75"</t>
  </si>
  <si>
    <t>Наименование статьи</t>
  </si>
  <si>
    <t>Доля в затратах</t>
  </si>
  <si>
    <t xml:space="preserve">Жилые помещения </t>
  </si>
  <si>
    <t>На 1 кв.м. общей площади</t>
  </si>
  <si>
    <t xml:space="preserve">Нежилые помещения </t>
  </si>
  <si>
    <t>Подземный паркинг (парковочные места)</t>
  </si>
  <si>
    <t>На 1 кв.м. парковочного места</t>
  </si>
  <si>
    <t>Площадь помещений  (кв.м.)</t>
  </si>
  <si>
    <t xml:space="preserve">Доля в общем долевом имуществе (жилые, нежилые, парковочные места в паркинге) </t>
  </si>
  <si>
    <t>Площадь и Доля в общем долевом имуществе многоквартирного дома (без учета подземного паркинга)</t>
  </si>
  <si>
    <t>Поступления членских взносов от собственников имущества на покрытие текущих затрат (по начислению):</t>
  </si>
  <si>
    <t>Техническое содержание общего имущества, МОП, и управление</t>
  </si>
  <si>
    <t>Вывоз ТБО, КГМ и  содержание контейнерной площадки</t>
  </si>
  <si>
    <t>тариф</t>
  </si>
  <si>
    <t xml:space="preserve">Подъемно-транспортное оборудование (лифты) </t>
  </si>
  <si>
    <t>Механизированная уборка и вывоз снега (при недостаточности средств - целевой сбор)</t>
  </si>
  <si>
    <t>из фонда использования придомовой территории</t>
  </si>
  <si>
    <t xml:space="preserve">Поступления от хозяйственной деятельности (ПЛАН) </t>
  </si>
  <si>
    <t>Использование инфраструктуры здания:</t>
  </si>
  <si>
    <t xml:space="preserve"> </t>
  </si>
  <si>
    <t xml:space="preserve">  интернет-провайдер "Инсис" </t>
  </si>
  <si>
    <t xml:space="preserve">  интернет-провайдер "Кабинет" </t>
  </si>
  <si>
    <t xml:space="preserve">  ООО "Комстар-регионы" (щит интернет и шкаф телефон)</t>
  </si>
  <si>
    <t xml:space="preserve">  муниципальные сети</t>
  </si>
  <si>
    <t xml:space="preserve">  прочие плательщики </t>
  </si>
  <si>
    <t>Сдача в аренду помещений:</t>
  </si>
  <si>
    <t xml:space="preserve">  подвал</t>
  </si>
  <si>
    <t xml:space="preserve">  крыша (Инвестбанк)</t>
  </si>
  <si>
    <t xml:space="preserve">чердак (размещение блоков кондиционеров), крыша - размещение спутниковых тарелок, лестничные площадки(помещения мусоропровода) </t>
  </si>
  <si>
    <t xml:space="preserve">  прочие объекты</t>
  </si>
  <si>
    <t>РАСШИФРОВКА ЧЛЕНСКИХ ВЗНОСОВ НА ПОКРЫТИЕ ТЕКУЩИХ РАСХОДОВ:</t>
  </si>
  <si>
    <t xml:space="preserve"> Техническое содержание общего имущества, МОП, эксплуатация  и управление</t>
  </si>
  <si>
    <t>Административные (управленческие) затраты</t>
  </si>
  <si>
    <t>Услуг связи (телефония, интернет, почта)</t>
  </si>
  <si>
    <t>Услуги кредитных организации (банки, лизинги):</t>
  </si>
  <si>
    <t xml:space="preserve">  - расчетно-кассовое обслуживание</t>
  </si>
  <si>
    <t xml:space="preserve">  - комиссия  за обработку платежей 1,5%(банк, Телепэй)</t>
  </si>
  <si>
    <t>Канцелярские расходы</t>
  </si>
  <si>
    <t>Подготовка и переподготовка кадров (техническое освидетельствование специалистов)</t>
  </si>
  <si>
    <t>Фонд оплаты труда (включая налоги):</t>
  </si>
  <si>
    <t>Услуги паспортного стола</t>
  </si>
  <si>
    <t xml:space="preserve">Обслуживание, ремонт, модернизация и реконструкция оргтехники, вычислительной техники, офисного оборудования.  </t>
  </si>
  <si>
    <t xml:space="preserve">Информационно-консультационные услуги сторонних организаций.  Обновление программного обеспечения (бухгалтерия) </t>
  </si>
  <si>
    <t>Интернет-отчетность (ПФ,ФСС,  ИФМС)</t>
  </si>
  <si>
    <t xml:space="preserve">Нотариальные услуги </t>
  </si>
  <si>
    <t>Транспортные расходы (достав канц., хоз. Товаров; ГСМ и пр.)</t>
  </si>
  <si>
    <t>Затраты на содержание дома, подземного паркинга и МОП (эксплуатационные расходы)</t>
  </si>
  <si>
    <t>диспетчер ТСЖ (надбавка за диспетчеризацию консьержам 1-го подъезда)</t>
  </si>
  <si>
    <t xml:space="preserve">   - уборщица</t>
  </si>
  <si>
    <t>Оплата услуг специализированных организаций:</t>
  </si>
  <si>
    <t xml:space="preserve">   - 1)аварийно-диспетчерское обслуживание, 2) обслуживание электрических сетей, 3)обслуживание системы отопления и сантех.оборудования специализированной организацией  (паркинг - 50% за п.1) и п.2))</t>
  </si>
  <si>
    <t>Страхование рисков (лифты)</t>
  </si>
  <si>
    <t>Техническое освидетельствование лифтов (1 раз в год)</t>
  </si>
  <si>
    <t>Страхование ответственности ТСЖ от ущерба третьим лицам (собственникам помещений в МКД)</t>
  </si>
  <si>
    <t>Хозяйственные расходы (моющие средства, тряпки, краска, салфетки, швабры и проч.)</t>
  </si>
  <si>
    <t>Содержание МОП (мест общего пользования) (подъезды, лифты, ТСЖ, комнаты консьержей и пр.):</t>
  </si>
  <si>
    <t xml:space="preserve">   - Отопление</t>
  </si>
  <si>
    <t xml:space="preserve">   - Мелкий ремонт (ремонт дверей, замков, замена доводчиков, стекол и проч.)</t>
  </si>
  <si>
    <t>Содержание инженерных сетей (материалы, комплектующие, доп.услуги сторонних организаций):</t>
  </si>
  <si>
    <t xml:space="preserve"> - Система дымоудаления (обслуживание)</t>
  </si>
  <si>
    <t xml:space="preserve">   - Сантехнические сети (ХВС, ГВС) и канализация</t>
  </si>
  <si>
    <t xml:space="preserve">   - Телекоммуникации</t>
  </si>
  <si>
    <t xml:space="preserve">   - Системы отопления</t>
  </si>
  <si>
    <t xml:space="preserve">   - Электрические сети</t>
  </si>
  <si>
    <t xml:space="preserve">   - Системы вентиляции</t>
  </si>
  <si>
    <t xml:space="preserve">   - Специнвентарь, спецодежда, инструмент</t>
  </si>
  <si>
    <t>Затраты на содержание придомовой территории и уборку паркинга</t>
  </si>
  <si>
    <r>
      <t xml:space="preserve">Фонд оплаты труда производственного персонала </t>
    </r>
    <r>
      <rPr>
        <b/>
        <sz val="12"/>
        <rFont val="Times New Roman"/>
        <family val="1"/>
      </rPr>
      <t>(дворник)</t>
    </r>
  </si>
  <si>
    <t xml:space="preserve">Озеленение, асфальтирование, разметка </t>
  </si>
  <si>
    <t xml:space="preserve">   -Непредвиденные, нераспределенные  расходы</t>
  </si>
  <si>
    <t>Затраты на вывоз ТБО, КГМ и  содержание контейнерной площадки</t>
  </si>
  <si>
    <t>Дополнительные членские взносы на покрытие затрат:</t>
  </si>
  <si>
    <t xml:space="preserve"> Замена общедомовых фильтров очистки холодной и горячей воды (один раз в квартал)</t>
  </si>
  <si>
    <t>объем потребления ХВС и ГВС по счетчикам</t>
  </si>
  <si>
    <t>6,0  руб./куб.м</t>
  </si>
  <si>
    <t>Затраты на проведение общего собрания членов ТСЖ (аренда зала, картридж, бумага, копирование)</t>
  </si>
  <si>
    <t xml:space="preserve">    - Шлагбаумы</t>
  </si>
  <si>
    <t xml:space="preserve">    - Ворота паркинга</t>
  </si>
  <si>
    <t xml:space="preserve">    - Система контроля и видеонаблюдения ( в том числе обслуживание домофона, дверей в подъезды, калиток во дворе)</t>
  </si>
  <si>
    <t>Техническое содержание, ремонт и замена оборудования  систем безопасности (шлагбаумы, видео, доводчики калиток, считыватели, домофоны)</t>
  </si>
  <si>
    <t>оплата собственников жилых, нежилых  помещений и подземного паркинга</t>
  </si>
  <si>
    <t>тариф по положению</t>
  </si>
  <si>
    <t>ИТОГО</t>
  </si>
  <si>
    <t>ИТОГО без доп. Услуг:</t>
  </si>
  <si>
    <t xml:space="preserve">Затраты на охрану общественного порядка ЧОП: </t>
  </si>
  <si>
    <t xml:space="preserve">Затраты на обслуживание подъемно-транспортного оборудования (лифты+ОДС)  </t>
  </si>
  <si>
    <t xml:space="preserve">Оплата за использование придомовой территории - размещение автотранспорта (офисы+жилые) на придомовой территории </t>
  </si>
  <si>
    <t>Налоги, непредвиденные расходы, премиальный фонд</t>
  </si>
  <si>
    <t>премиальный фонд (для сотрудников - по решению правления)</t>
  </si>
  <si>
    <t xml:space="preserve">   -Электроэнергия</t>
  </si>
  <si>
    <t xml:space="preserve">  - Управляющий (или вознаграждение председателя правления)</t>
  </si>
  <si>
    <t xml:space="preserve">  - Главный бухгалтер (по договору с ИП)</t>
  </si>
  <si>
    <t>Фонд оплаты труда (включая все налоги и начисления):</t>
  </si>
  <si>
    <t xml:space="preserve"> Фонд текущего ремонта (2,0  руб./кв.м.) - на ремонт МОП</t>
  </si>
  <si>
    <t>штрафы, пени, перерасчет налогов</t>
  </si>
  <si>
    <t>Текущее обслуживание систем безопасности (шлагбаумы, ворота паркинга, видеонаблюдение, домофон):</t>
  </si>
  <si>
    <r>
      <t xml:space="preserve">Дополнительные членские взносы (очистка ХВС и ГВС, охрана общ.порядка, содержание системы безопасности и котроля доступа, проведение ежегодного общего собрания), </t>
    </r>
    <r>
      <rPr>
        <b/>
        <sz val="12"/>
        <rFont val="Times New Roman"/>
        <family val="1"/>
      </rPr>
      <t>не включая дежурных по подъездам</t>
    </r>
  </si>
  <si>
    <t>лампы</t>
  </si>
  <si>
    <t>Орион</t>
  </si>
  <si>
    <t>сумма</t>
  </si>
  <si>
    <t>статья сметы</t>
  </si>
  <si>
    <t>ИП савичев</t>
  </si>
  <si>
    <t>дата</t>
  </si>
  <si>
    <t xml:space="preserve">настройка компьютера (бухг.прогр) </t>
  </si>
  <si>
    <t>АРЧА-сервис</t>
  </si>
  <si>
    <t>интернет-сервис</t>
  </si>
  <si>
    <t>консультация по бухг.учету (обучение)</t>
  </si>
  <si>
    <t>обучение</t>
  </si>
  <si>
    <t>повышение квалификации</t>
  </si>
  <si>
    <t>потенциал-софт</t>
  </si>
  <si>
    <t>БМБ</t>
  </si>
  <si>
    <t>фильтры</t>
  </si>
  <si>
    <t>фильтры воды</t>
  </si>
  <si>
    <t>орион</t>
  </si>
  <si>
    <t xml:space="preserve">пожертвование </t>
  </si>
  <si>
    <t>проведение собрания</t>
  </si>
  <si>
    <t>марштуризатор к серверу</t>
  </si>
  <si>
    <t>альфа-мега</t>
  </si>
  <si>
    <t>оргтехника</t>
  </si>
  <si>
    <t>установка клапана обратного тока</t>
  </si>
  <si>
    <t>канализация (замена клапана в 4 подъезде)</t>
  </si>
  <si>
    <t>прочиска засора</t>
  </si>
  <si>
    <t>канализация</t>
  </si>
  <si>
    <t>замена крепежа фильтров и маркировка</t>
  </si>
  <si>
    <t>водоснабжение система</t>
  </si>
  <si>
    <t>замена кранов шаровых</t>
  </si>
  <si>
    <t xml:space="preserve">доставка земли </t>
  </si>
  <si>
    <t>благоустройство</t>
  </si>
  <si>
    <t>Комарова КФХ</t>
  </si>
  <si>
    <t>озеленение</t>
  </si>
  <si>
    <t>рассада цветов и трава</t>
  </si>
  <si>
    <t>юридич.услуги</t>
  </si>
  <si>
    <t>госпошлина (регистрация устава)</t>
  </si>
  <si>
    <t xml:space="preserve">просксимити-карты </t>
  </si>
  <si>
    <t>АРМО-Урал</t>
  </si>
  <si>
    <t>Урны и качели</t>
  </si>
  <si>
    <t>УМК-строй</t>
  </si>
  <si>
    <t>оформление земельного участка</t>
  </si>
  <si>
    <t>Альфа-строй</t>
  </si>
  <si>
    <t>счетчики меркурий</t>
  </si>
  <si>
    <t>концентратор (для эл.сетей)</t>
  </si>
  <si>
    <t>лампы и вставки</t>
  </si>
  <si>
    <t>Свободные технологии</t>
  </si>
  <si>
    <t>замена фильтров воды</t>
  </si>
  <si>
    <t>ТД Электроизделия</t>
  </si>
  <si>
    <t xml:space="preserve">штраф </t>
  </si>
  <si>
    <t>за сдачу отчетности ЖИ</t>
  </si>
  <si>
    <t>фильтр-пакеты для пылесоса</t>
  </si>
  <si>
    <t>Интер-трейд</t>
  </si>
  <si>
    <t>паркинг</t>
  </si>
  <si>
    <t>счетчики меркурий (10 шт)</t>
  </si>
  <si>
    <t>урны</t>
  </si>
  <si>
    <t>видеокамеры и кабель</t>
  </si>
  <si>
    <t>Коряков</t>
  </si>
  <si>
    <t>Бонус</t>
  </si>
  <si>
    <t>консультация Бонуса  (семинар)</t>
  </si>
  <si>
    <t>ремонт ворот паркинга (пружины и проч)</t>
  </si>
  <si>
    <t xml:space="preserve">уборка контейнерной площадки (с июля) </t>
  </si>
  <si>
    <t>раков</t>
  </si>
  <si>
    <t>вывоз мусора</t>
  </si>
  <si>
    <t>доводчик 4 подъезд+ замок на дверь паркинг</t>
  </si>
  <si>
    <t>лестница 8 м</t>
  </si>
  <si>
    <t>РСУ-47</t>
  </si>
  <si>
    <t>освидетельствование лифтов</t>
  </si>
  <si>
    <t>ремонт входн группы 2 подъезда</t>
  </si>
  <si>
    <t>ремонтный фонд</t>
  </si>
  <si>
    <t>ФОНД ПРИДОМОВОЙ ТЕРРИТОРИИ</t>
  </si>
  <si>
    <t>строй-материалы</t>
  </si>
  <si>
    <t xml:space="preserve"> Специнвентарь - ремонт и обслуживание (газонокосилка, пылесос в паркинге, сварочный аппарат, инструмент, фильтры пылесоса)</t>
  </si>
  <si>
    <t>Хозяйственные расходы и МБП (метлы, скребки, лопаты, перчатки, метизы, антигололедная смесь и проч.)</t>
  </si>
  <si>
    <t>нотариус</t>
  </si>
  <si>
    <t>ИКЦ УралЛифт</t>
  </si>
  <si>
    <t>гидроизоляция кровли 2 подъезд</t>
  </si>
  <si>
    <t>ремонт /м в паркинге</t>
  </si>
  <si>
    <t>аванс за ремонт 4 подъезда</t>
  </si>
  <si>
    <t>ремонт и замена трансформаторов</t>
  </si>
  <si>
    <t>контейнерная площадка</t>
  </si>
  <si>
    <t>Раков</t>
  </si>
  <si>
    <t>Краны шаровые, кольцо уплотнительное</t>
  </si>
  <si>
    <t>нал</t>
  </si>
  <si>
    <t>ООО ТД Уралтоптрейд</t>
  </si>
  <si>
    <t>ООО "Спутник жизни</t>
  </si>
  <si>
    <t>Орион электроматериалы</t>
  </si>
  <si>
    <t>Ур-й з-д НВТ</t>
  </si>
  <si>
    <t>Расчет по итогам работ (ремонт 4 под)</t>
  </si>
  <si>
    <t>Ремонт будки охраны (материалы)</t>
  </si>
  <si>
    <t>Арча-сервич</t>
  </si>
  <si>
    <t>интернет-отчетность на 2013 год</t>
  </si>
  <si>
    <t>Обновление По на 2013 год</t>
  </si>
  <si>
    <t>Расчет по договору (ремонт 4 под.)</t>
  </si>
  <si>
    <t>Предоплата за работу (50%)-ремонт будки</t>
  </si>
  <si>
    <t xml:space="preserve"> отопление</t>
  </si>
  <si>
    <t>СК УралСиб</t>
  </si>
  <si>
    <t>страхование лифтов</t>
  </si>
  <si>
    <t>электрические сети смета</t>
  </si>
  <si>
    <t>сантехнич материалы и сварочные работы</t>
  </si>
  <si>
    <t>отклонение</t>
  </si>
  <si>
    <t>Ремонт антенны</t>
  </si>
  <si>
    <t>Ремнот антенны, настойка оборудования</t>
  </si>
  <si>
    <t>смета</t>
  </si>
  <si>
    <t>юридические услуги (оформление земельного участка)</t>
  </si>
  <si>
    <t>кабель и прокладка проводки в заборе офисной парковки</t>
  </si>
  <si>
    <t>паркинг ремонт   смета</t>
  </si>
  <si>
    <t>ремонт пола (замена плитки в 1-м подъезде на 9  этажах</t>
  </si>
  <si>
    <t>ремонт пола - замена кафеля на 3 этаже 1 подъезд</t>
  </si>
  <si>
    <t>ремонт канализации (перекладка труб 4 подъезд)</t>
  </si>
  <si>
    <t>земляные работы и замена выпуска канализации в 4-м плдъезде.Оборудование</t>
  </si>
  <si>
    <t>смета (мелкий ремонт паркинга)</t>
  </si>
  <si>
    <t>Счетчики Меркурий в МОП (замена по предписанию ЕЭСК)</t>
  </si>
  <si>
    <t>ремонт и замена трансформаторов ( по предписанию ЕЭСК)</t>
  </si>
  <si>
    <t>лифт освидет смета</t>
  </si>
  <si>
    <t>отопление смета</t>
  </si>
  <si>
    <t>Ремонт, обслуживание дворового имущества (ремонт и покраска скамеек, забора,  детской площадки, замена урн и т.п.)+ мелкий ремонт паркинга</t>
  </si>
  <si>
    <t>арсенал-трейд</t>
  </si>
  <si>
    <t>антигололедная смесь</t>
  </si>
  <si>
    <t>ФАКТ  2012 год</t>
  </si>
  <si>
    <t xml:space="preserve">Утверждена - г.Екатеринбург 18 апреля  2012 г. </t>
  </si>
  <si>
    <t>2012 год ПЛАН (апрель-декабрь)</t>
  </si>
  <si>
    <t>2012 год ПЛАН (январь-март, по тарифу 2011 г.)</t>
  </si>
  <si>
    <t xml:space="preserve">ИТОГО 2012 год ПЛАН </t>
  </si>
  <si>
    <t xml:space="preserve">В МЕСЯЦ (апрель-декабрь): </t>
  </si>
  <si>
    <t xml:space="preserve">В МЕСЯЦ (январь-март): </t>
  </si>
  <si>
    <t>Предоплата за работу (50%)-ремонт будки (замена пола, утепление стены)</t>
  </si>
  <si>
    <t>карты доступа на территорию для авто (возврат)</t>
  </si>
  <si>
    <t xml:space="preserve"> (3 счетчика для квартир) - возврат</t>
  </si>
  <si>
    <t>для квартир (возврат)</t>
  </si>
  <si>
    <t>смета мелкий ремонт</t>
  </si>
  <si>
    <t>смета Хозяйственные расходы и МБП смесь и проч.)</t>
  </si>
  <si>
    <t xml:space="preserve">смета Мелкий ремонт </t>
  </si>
  <si>
    <t>монтажный техникум</t>
  </si>
  <si>
    <t>укрепление проемов дверей в холле 2 подъезд</t>
  </si>
  <si>
    <t>ремонт МОП</t>
  </si>
  <si>
    <t>мелкий ремонт</t>
  </si>
  <si>
    <t>ремонт забора (сварка)</t>
  </si>
  <si>
    <t>Лампы</t>
  </si>
  <si>
    <t>электрические сети</t>
  </si>
  <si>
    <t>Уральский завод НВО</t>
  </si>
  <si>
    <t>ООО "Уралтрейдсервис</t>
  </si>
  <si>
    <t>Центр Бонус (арча, кварплата и минфин)</t>
  </si>
  <si>
    <t>Расходы</t>
  </si>
  <si>
    <t>шар призма и лампы на забор</t>
  </si>
  <si>
    <t>Вид услуг</t>
  </si>
  <si>
    <t>Поставщик услуг</t>
  </si>
  <si>
    <t xml:space="preserve">Запланировано на 2013 год </t>
  </si>
  <si>
    <t>ПРИМЕЧАНИЕ</t>
  </si>
  <si>
    <t xml:space="preserve"> Комстар-регионы</t>
  </si>
  <si>
    <t>За размещение телефонного шкафа и интернет-шкафа</t>
  </si>
  <si>
    <t>Инсис</t>
  </si>
  <si>
    <t>зачетом за интернет для  ТСЖ (выделенный канал, безлимитный тариф)</t>
  </si>
  <si>
    <t>Кабинет</t>
  </si>
  <si>
    <t>интернет-шкаф</t>
  </si>
  <si>
    <t>ВСЕГО:</t>
  </si>
  <si>
    <t>Налог на дохододы от коммерческой деятельности 10%</t>
  </si>
  <si>
    <r>
      <t xml:space="preserve">г.Екатеринбург  </t>
    </r>
    <r>
      <rPr>
        <b/>
        <sz val="12"/>
        <color indexed="10"/>
        <rFont val="Times New Roman"/>
        <family val="1"/>
      </rPr>
      <t>11 марта 2013 г.</t>
    </r>
    <r>
      <rPr>
        <b/>
        <sz val="12"/>
        <rFont val="Times New Roman"/>
        <family val="1"/>
      </rPr>
      <t xml:space="preserve"> Общее собрание собственников помещений многоквартирного дома по ул.Декабристов, 75.</t>
    </r>
  </si>
  <si>
    <t>ИТОГО ремонтный фонд</t>
  </si>
  <si>
    <t xml:space="preserve">Расходы в 2012 г. </t>
  </si>
  <si>
    <t>Итого расходы в 2012 году</t>
  </si>
  <si>
    <t>остаток на 01.01.2013</t>
  </si>
  <si>
    <t>налог</t>
  </si>
  <si>
    <t>Начислено в 2012 году (целевой сбор в рем.фонд)</t>
  </si>
  <si>
    <t>остаток рем.фонда на 01.01.2012</t>
  </si>
  <si>
    <t>Нераспределенные доходы от финансовой деятельности 2011 г., направленные в рем.фонд в 2012 г. по решению собрания</t>
  </si>
  <si>
    <t>канализация 4 подъезд (прокладка труб)</t>
  </si>
  <si>
    <t>канализация 4 подъезд (обустройство нового выпуска)</t>
  </si>
  <si>
    <t>замена кафеля МОП (1 п , 9 этаж)</t>
  </si>
  <si>
    <t>замена кафеля МОП (1 п, 3 этаж)</t>
  </si>
  <si>
    <t>отопление</t>
  </si>
  <si>
    <t>ХВС</t>
  </si>
  <si>
    <t>ГВС</t>
  </si>
  <si>
    <t>водоотведение</t>
  </si>
  <si>
    <t>электроэнергия</t>
  </si>
  <si>
    <t>Ремонтный фонд</t>
  </si>
  <si>
    <t>Доход от размещения оборудования в 2012 г.</t>
  </si>
  <si>
    <t>ремонт ограждения (сварка)</t>
  </si>
  <si>
    <t>Начислено собственникам в 2012 г.</t>
  </si>
  <si>
    <t>кабель и замена проводки ограждения офисной парковки</t>
  </si>
  <si>
    <t>ИТОГО расходы</t>
  </si>
  <si>
    <t xml:space="preserve">Коммунальные платежи - оплата поставщикам за ХВС, ГВС, отопление, электроснабжение, водоотведение </t>
  </si>
  <si>
    <t xml:space="preserve">остаток на 01.01.2013 </t>
  </si>
  <si>
    <t>начислено собственникам в 2012 году</t>
  </si>
  <si>
    <t>оплачено собственниками в 2012 году</t>
  </si>
  <si>
    <t>Коммунальные услуги</t>
  </si>
  <si>
    <t>ремонт вент.шахты 3 подъзд</t>
  </si>
  <si>
    <t>ИП Тенис</t>
  </si>
  <si>
    <t>Средства от хозяйственной деятельности, поступление которых запланировано в 2013 году:</t>
  </si>
  <si>
    <t>ИТОГО поступление</t>
  </si>
  <si>
    <t>направить в ремонтный фонд</t>
  </si>
  <si>
    <t>Направление расходования средств ремонтного фонда и средств от хозяйственной деятельности, поступление которых запланировано на 2013 год:</t>
  </si>
  <si>
    <t>ИТОГО РЕМОНТНЫЙ ФОНД 2013 г.:</t>
  </si>
  <si>
    <t>1) Текущий ремонт и покраска  стен в  1,2 и 3-м подъездах, 2) ремонт кровли 3-го подъезда, 3) ремонт выпуска канализации 3 подъезд, 4) частичный ремонт паркинга</t>
  </si>
  <si>
    <t>направлено на оплату охраны придомовой территории (частичное погашение затрат)</t>
  </si>
  <si>
    <t>Экономия по смете 2013 г., направляемая  в ремонтный фонд  по решению собрания</t>
  </si>
  <si>
    <t>Запланированные поступления в ремонтный фонд в 2013 году</t>
  </si>
  <si>
    <t>Остаток ремонтного фонда на 01.01.2013 г.</t>
  </si>
  <si>
    <t>В 2013 г. УСН 7%</t>
  </si>
  <si>
    <t>Поступления от хозяйственной деятельности в 2013 г. (план)</t>
  </si>
  <si>
    <t>Фонд использования придомовой территории (ИПТ)</t>
  </si>
  <si>
    <t>Поступления (план) от коммерческой деятельности (размещение оборудования) в 2013 году</t>
  </si>
  <si>
    <t>Дополнительно:</t>
  </si>
  <si>
    <t>г.Екатеринбург 11  марта 2013 года</t>
  </si>
  <si>
    <t>2012 год ПЛАН (март-декабрь)</t>
  </si>
  <si>
    <t xml:space="preserve">В МЕСЯЦ: </t>
  </si>
  <si>
    <t xml:space="preserve">Коммунальные платежи - оплата поставщикам за ХВС, ГВС, отопление, электроснабжение, водоотведение - расчетно </t>
  </si>
  <si>
    <t>Техническое содержание общего имущества, МОП, придомовой территории, и управление ( в т.ч.: вывоз мусора и обслуж-е лифта)</t>
  </si>
  <si>
    <t>В том числе:</t>
  </si>
  <si>
    <t xml:space="preserve"> Вывоз ТБО, КГМ и  содержание контейнерной площадки</t>
  </si>
  <si>
    <t xml:space="preserve"> Фонд текущего ремонта (2,0  руб./кв.м.) </t>
  </si>
  <si>
    <r>
      <rPr>
        <b/>
        <sz val="12"/>
        <rFont val="Times New Roman"/>
        <family val="1"/>
      </rPr>
      <t>Дополнительные членские взносы</t>
    </r>
    <r>
      <rPr>
        <sz val="12"/>
        <rFont val="Times New Roman"/>
        <family val="1"/>
      </rPr>
      <t xml:space="preserve"> (очистка ХВС и ГВС, охрана общ.порядка, содержание системы безопасности и котроля доступа, проведение ежегодного общего собрания), не включая дежурных по подъездам</t>
    </r>
  </si>
  <si>
    <t xml:space="preserve">Механизированная уборка и вывоз снега </t>
  </si>
  <si>
    <t>Административные (управленческие) расходы</t>
  </si>
  <si>
    <t>Содержание дома, подземного паркинга и МОП (эксплуатационные расходы)</t>
  </si>
  <si>
    <t xml:space="preserve"> - Система дымоудаления (обслуживание лиценз.орг-й)</t>
  </si>
  <si>
    <t>Система пожаротушения (обслуживание лиценз.орг-й)</t>
  </si>
  <si>
    <t>Ремонт, обслуживание дворового имущества (ремонт и покраска скамеек, забора,  детской площадки, замена урн и т.п.)</t>
  </si>
  <si>
    <t xml:space="preserve"> Специнвентарь - ремонт и обслуживание (газонокосилка, пылесос в паркинге, сварочный аппарат, инструмент)</t>
  </si>
  <si>
    <t>Хозяйственные расходы и МБП (метлы, скребки, лопаты, перчатки, метизы и проч.)</t>
  </si>
  <si>
    <t xml:space="preserve">Налог по упрощеной системе налогообложения = 1% от дохода </t>
  </si>
  <si>
    <t>ИТОГО дополнительные членские взносы (без учета размещения автотранспорта на придомовой территории и без учета дежурных по подъездам)</t>
  </si>
  <si>
    <t>расходы:</t>
  </si>
  <si>
    <t>Целевой сбор (40 руб./кв.м.  - c жилых помещений) на проведение ремонта 1-го, 2-го и 3-го подъездов</t>
  </si>
  <si>
    <t xml:space="preserve">Общее собрание членов ТСЖ «Декабристов 75»    </t>
  </si>
  <si>
    <t>620142 Свердловская область, г. Екатеринбург, ул. Декабристов, дом 75</t>
  </si>
  <si>
    <r>
      <t xml:space="preserve">Дата проведения собрания - </t>
    </r>
    <r>
      <rPr>
        <b/>
        <sz val="18"/>
        <color indexed="10"/>
        <rFont val="Times New Roman"/>
        <family val="1"/>
      </rPr>
      <t>11 марта 2013 года</t>
    </r>
  </si>
  <si>
    <t xml:space="preserve">ПОЯСНИТЕЛЬНАЯ ЗАПИСКА </t>
  </si>
  <si>
    <t>к смете доходов и расходов на 2013 год и направлениям использования доходов от хозяйственной деятельности  товарищества, получение которых запланировано в 2013 году</t>
  </si>
  <si>
    <t>Смета на  2013 года  рассчитана на основании  затрат, сложившихся  из условий действующих договоров на обслуживание и тарифов на  коммунальные услуги, введенных поставщиками с 01.09.2012 г.</t>
  </si>
  <si>
    <t>СТАТЬЯ РАСХОДОВ</t>
  </si>
  <si>
    <t>Комментарии</t>
  </si>
  <si>
    <t>Услуги кредитных организации (банки, лизинги)</t>
  </si>
  <si>
    <t xml:space="preserve">ОАО "Сбербанк" - согласно тарифам на обслуживание расчетного счета </t>
  </si>
  <si>
    <t xml:space="preserve">  - комиссия банка 1,5% и 1% систем отплаты через териминалы </t>
  </si>
  <si>
    <t>Сбербанк удерживает комиссию 1,5% со ВСЕХ платежей независимо от способа оплаты за обработку документов  с полученных сумм, указанных в квитанции или счете.    Сбербанк перечисляет на расч.счет ТСЖ суммы за вычетом комиссии</t>
  </si>
  <si>
    <t xml:space="preserve">Рассчитаны из средних затрат за 2008-20012 год </t>
  </si>
  <si>
    <t>Содержание помещений, хозяйственные расходы (моющие средства, тряпки и проч.)</t>
  </si>
  <si>
    <t xml:space="preserve">Рассчитаны из средних затрат за 2008-2012 год </t>
  </si>
  <si>
    <t>Подготовка и переподготовка кадров (техническое освидетельствование)</t>
  </si>
  <si>
    <t>Участие управляющего и бухгалтера ТСЖ в тематических семинарах, прохождение обязательного обучения</t>
  </si>
  <si>
    <t>Фонд оплаты труда (управляющий + бухгалтер)</t>
  </si>
  <si>
    <t xml:space="preserve">Фонд заработной платы рассчитан исходя из оклада, уральского коэффициента и начислений ЕСН (Пенсионный фонд, соцстрах, медицинское страхование).  В штате ТСЖ отсутвует управляющий - вопросами оргинизации и управления занимается председатель правления ТСЖ - ему выплачивается ежемесячное вознаграждение (35000 руб.) - на 2013 год не меняется.         Бухгалтер - по договору с  ИП (18150 руб., увеличение на 10% к смете 2012 года). </t>
  </si>
  <si>
    <t>Учет граждан ведется по договору  с Центром муниципальных услуг</t>
  </si>
  <si>
    <t xml:space="preserve">Обслуживание, ремонт, модернизация и реконструкция оргтехники, вычислительной техники, офисного оборудования.  Обновление программного обеспечения (бухгалтерия) </t>
  </si>
  <si>
    <t xml:space="preserve">Текущий ремонт ПК, устранение неисправностей.  Ежегодное обновление программ и продление лицензий на  программное обеспечение. </t>
  </si>
  <si>
    <t xml:space="preserve">Юридические, нотариальные, судебные услуги </t>
  </si>
  <si>
    <t xml:space="preserve">Устуги нотариуса по текущей деятельности.  </t>
  </si>
  <si>
    <t>Подготовка документов кадастрового и технического учета объектов (оформление  земельного участка)</t>
  </si>
  <si>
    <t xml:space="preserve">Дополнительные затраты по оформлению земельного участка предлагается покрывать за счет зарезервированных  средств от коммерческой деятельности </t>
  </si>
  <si>
    <t>Подготовка документации и регламентов по защите персональных данных</t>
  </si>
  <si>
    <t>Возможны затраты по разработке внутренних регламентов и нормативов, разработка и внедрение ПО по защите персональных данных  (введение в действие ФЗ РФ)</t>
  </si>
  <si>
    <t>Обеспечение техники безопасности и охраны труда</t>
  </si>
  <si>
    <t>Резерв на проведение мероприятий по ТБ и охране труда (в т.ч. оборудование рабочих мест)</t>
  </si>
  <si>
    <t>Транспортные расходы (достав канц., хоз. товаров, проездной)</t>
  </si>
  <si>
    <t>транспортные расходы по доставке материалов, оборудования, хозтоваров, проездной для управляющего (для поездок в банк, к поставщикам)</t>
  </si>
  <si>
    <t>Затраты на содержание дома и МОП (эксплуатационные расходы )</t>
  </si>
  <si>
    <t>Фонд оплаты труда</t>
  </si>
  <si>
    <t>-диспетчер ТСЖ (надбавка 2000 руб. дежурному по 1-му подъезду)</t>
  </si>
  <si>
    <t xml:space="preserve">За выполнение функций диспетчера  (аварии  инженерного оборудования в доме, контроль выдачи ключей от служебных помещений и МОП, прием заявок собственников, размещение информации в подъездах) осуществляется доплата 2000 рублей (+15% уральский  коэффициент+ЕСН)  каждому дежурному  1-го подъезда. Без изменений. </t>
  </si>
  <si>
    <t xml:space="preserve">Оклад = 13200 руб. (+15% уральский  коэффициент + ЕСН) (уборщица убирает только подъезды жилого дома, влажная уборка каждого подъезда - 5 дней в неделю)  = увеличение на 10% к смете 2012 года. </t>
  </si>
  <si>
    <t xml:space="preserve">   - аварийно-диспетчерское обслуживание, обслуживание электрических сетей, системы отопления и сантех.оборудования специализированной организацией</t>
  </si>
  <si>
    <t xml:space="preserve">С 01.01.2010 заключен договор с ООО "Орион" на  круглосуточное аварийно-диспетчерское обслуживание  и полное  обслуживание всех инженерных сетей жилого комплекса (в соответствие с нормами и правилами, установленными действующим законодательством) - услуги сантехника, электрика, мастера, инженера-теплотехника. </t>
  </si>
  <si>
    <t>Ежегодное обязательное страхование лифтов ( с 2013 года = 5000 руб.)</t>
  </si>
  <si>
    <t>Ежегодное обязательное  техническое освидетельствование лифтов , увеличение на 17%</t>
  </si>
  <si>
    <t>Содержание МОП (мест общего пользования):</t>
  </si>
  <si>
    <t xml:space="preserve">   - Общехозяйственные расходы (ремонт дверей, замков и проч.)</t>
  </si>
  <si>
    <t>Текущие ремонты, подгонка дверей, замена замков, ручек, доводчиков и проч.</t>
  </si>
  <si>
    <t>Содержание инженерных сетей (материалы и услуги):</t>
  </si>
  <si>
    <t>Абонентское обслуживание по договору со специализированным муниципальным предприятием</t>
  </si>
  <si>
    <t xml:space="preserve">   - Сантехнические сети и канализация</t>
  </si>
  <si>
    <t>Плановые работы: приобретение и  замена кранов, вентилей, ремонт насосов; устройство подвесов; прочистка и ремонт канализационных труб,  ремонт выпусков канализации;  приобретение и замена ламп, плафонов; частичное финансирование непредвиденных работ по устранению аварийных ситуаций</t>
  </si>
  <si>
    <t>Транспортные расходы по перевозке грузов, материалов</t>
  </si>
  <si>
    <t>доставка матералов для проведения ремонтых работ на инженерных сетях</t>
  </si>
  <si>
    <t>Затраты на содержание придомовой территории</t>
  </si>
  <si>
    <t>Фонд оплаты труда производственного персонала (дворник)</t>
  </si>
  <si>
    <t xml:space="preserve">Дворник: зарплата 16500 руб  (+15% уральский  коэффициент+ЕСН ) = увеличение на 10% к смете 2012 года). </t>
  </si>
  <si>
    <t>Озеленение, асфальтирование, разметка</t>
  </si>
  <si>
    <t>Обустройство газонов (покупка земли), рассада цветов, оплата цветоводу за уходом цветов</t>
  </si>
  <si>
    <t>Ремонт, обслуживание дворового имущества</t>
  </si>
  <si>
    <t>ремонт забора; ремонт и покраска скамеек, ограждений, ремонт и покраска детской площадки и пр.</t>
  </si>
  <si>
    <t xml:space="preserve"> Специнвентарь, ремонт и обслуживание (газонокосилка, пылесос, сварочный аппарат, инструмент)</t>
  </si>
  <si>
    <t xml:space="preserve">Ремонт газонокосилки, пылесоса; замена инструмента, вышедшего из строя </t>
  </si>
  <si>
    <t>Налоги, непредвиденные расходы</t>
  </si>
  <si>
    <t>Упрощенная системам налогообложения (в пределах 1% от от общего дохода)</t>
  </si>
  <si>
    <t>Вывоз мусора и содержание контейнерной площадки</t>
  </si>
  <si>
    <t xml:space="preserve">По договору с обслуживающей организаций ("Эковывоз") - вывоз мусора,  увеличение на 17% к смете 2012 года).  Единый тариф для  жилых и нежилых помещений. В том числе: обслуживание контейнерной площадки - ИП Раков (1500 руб.мес). </t>
  </si>
  <si>
    <t>Вывоз снега (накопление средств на вывоз снега)</t>
  </si>
  <si>
    <t>за счет остатка средств из фонда "использование придомовой территории"</t>
  </si>
  <si>
    <t>Дополнительные взносы</t>
  </si>
  <si>
    <t>Системы безопасности (шлагбаумы, ворота паркинга, видеонаблюдение):</t>
  </si>
  <si>
    <t>Условия не менялись 3 года. Договор с ИП Коряков (С 01.03.2013 г.:   текущее ослуживание шлагбаума= 4950 руб, ворот паркинга = 1650 руб, системы видеонаблюдения (в т.ч. домофон, двери, калитки) = 14950 руб. ежемесячно.)</t>
  </si>
  <si>
    <t xml:space="preserve">распределение затрат между группами собственников производится по следующей методике: 1) Всего в наличии 3 шлагбаума; 2) собственники паркинга используют 2 шлагбаума (въезд/выезд) круглый месяц; 3)  жилые помещения - используют 3 (въезд/выезд и двор) шлагбаума круглый месяц; 4) нежилые помещения используют 2 шлагбаума (въезд/выезд)  в среднем 22 рабочих дня в месяц  по 12 часов (с 08:00 до 20:00), т.е. 2*22/30*0,5 = 0,74  5) В результате получаем процентное соотношение нагрузки на шлагбаумы и распределение затрат на их обслуживание:  Общий объем использования шлагбаумов 2+3+ 2*22/30*0,5 = 5,74. Процентное распределение затрат на шлагбаумы в месяц: собственники паркинга = 2/5,74*100% = 34,8%; собственники жилых помещений = 3/5,74*100% = 52,3%; собственники нежилых помещений = 0,74/5,74*100% = 12,9%. </t>
  </si>
  <si>
    <t>затраты на обслуживание ворот паркинга распределяются между собственниками паркинга</t>
  </si>
  <si>
    <t xml:space="preserve">    - Система контроля и видеонаблюдения ( в том числе обслуживание домофона, дверей, калиток)</t>
  </si>
  <si>
    <t xml:space="preserve">распределение затрат между всеми  собственниками на 1 кв.м. площади </t>
  </si>
  <si>
    <t>Техническое содержание систем безопасности (ремонт, замена оборудования - шлагбаумы, видео, доводчики, считыватели, домофоны)</t>
  </si>
  <si>
    <t>Плановые ремонты и замены оборудования, непредвиденные ремонты.  При нехватке средств - за счет средств из фонда "использование придомовой территории"</t>
  </si>
  <si>
    <t>Услуги охраны общественного порядка ЧОП):</t>
  </si>
  <si>
    <t>Договор с ЧОП "Восток-Е" с 01 марта 2012 г. Тариф=98 руб./час/сотрудник</t>
  </si>
  <si>
    <t xml:space="preserve">    - жилые помещения</t>
  </si>
  <si>
    <t xml:space="preserve">     -нежилые помещения (офисы)</t>
  </si>
  <si>
    <t xml:space="preserve">      -паркинг</t>
  </si>
  <si>
    <t xml:space="preserve">Оплата за использование придомовой территории - размещение автотранспорта на придомовой территории </t>
  </si>
  <si>
    <t xml:space="preserve">Оплата за пользование придомовой территорией - согласно утвержденного общим собранием 10.11.2009 г.  Положения (определен порядок оплаты за размещение автотранспорта на придомовой территории).  Средства используются на финансирование мероприятий согласно Положению (частично идут  на погашение затрат услуг по охране общественного порядка(ЧОП), остающаяся сумма учитывается на субсчете и расходуется  на цели, указанные в Положении - озеленение, благоустройство территории, замена видеокамер, шлагбаумов, вывоз снега) </t>
  </si>
  <si>
    <t xml:space="preserve"> Водоочистительные системы (фильтры)</t>
  </si>
  <si>
    <t>Тариф  рассчитан исходя из средних показателей потребления ГВС и ХВС за период январь 2008 - декабрь 2012 г.. Замена фильтров производится 1 раз в квартал. Стоимость 4-х замен фильтров поделена на общий объем потребляемой фильтрованной  воды (ХВС и ГВС) = получен тариф 6,0 рублей за один куб.метр  потребленной холодной и горячей воды (по счетчикам).</t>
  </si>
  <si>
    <t xml:space="preserve">Затраты по проведению общего собрания членов ТСЖ </t>
  </si>
  <si>
    <t xml:space="preserve">Фонд оплаты труда (дежурные по подъездам) </t>
  </si>
  <si>
    <t>Коммунальные платежи</t>
  </si>
  <si>
    <t>Коммунальные платежи приведены расчетно исходя из среднего потребления. К оплате предъявляются расчеты исходя из показаний индивидуальных приборов учета и действующих тарифов, утвержденных  РЭК и органами власти, согласно выставленных счетов по договорам между поставщиками услуг и ТСЖ. В соответствии с постановлением правительства №354 с 01.09.2012 производится начисление общедомового потребления коммунальных ресурсов (разница между общедомовым  прибором учета ресурса и суммой показаний приборов учета в жилых и офисных помещениях).</t>
  </si>
  <si>
    <t xml:space="preserve">Ремонтный фонд </t>
  </si>
  <si>
    <r>
      <t xml:space="preserve">Ремонтный фонд создан по решению общего собрания членов ТСЖ  от 17.06.2008 г., средства направляются на основании решений правления ТСЖ на осуществление текущего ремонта и замену вышедшего из строя оборудования, в том числе непредвиденные аварийные и ремонтные  работы. </t>
    </r>
    <r>
      <rPr>
        <b/>
        <sz val="14"/>
        <rFont val="Times New Roman"/>
        <family val="1"/>
      </rPr>
      <t>В 2013 году - на ремонт кровли  3-го подъезда, на текущий ремонт 1-го, 2-го и 3-го подъездов, на мелкий ремонт паркинга. Недостающие средства собираются за счет дополнительных членских взносов.</t>
    </r>
  </si>
  <si>
    <t>ремонт и замена магистрали в насосной станции</t>
  </si>
  <si>
    <t>Экономия по смете 2012 г., направляемая  в ремонтный фонд  по решению собрания</t>
  </si>
  <si>
    <t>ремонт МОП (4 подъезд, вент.шахты паркинга, элементы фасада у 4 и 2 подъездов)</t>
  </si>
  <si>
    <t>урны (10 шт.), качели, укрепление и покраска конструкций детской площадки</t>
  </si>
  <si>
    <t>видеокамеры (покупка и установка 3-х видеокамер: у 1-го, 2-го подъезда, у зап.выхода 3-го подъезда), прокладка кабеля и монтаж в/камеры на дальнюю зону офисной парковки,   замена  кабеля питания видеокамер на столбе у контейн.площадки</t>
  </si>
  <si>
    <t xml:space="preserve">механизированная уборка снега во дворе,  на офисной парковке со стороны ул.Ст.Разина, 2 раза - уборка и вывоз снега на парковке со стороны "Нейва-банка" </t>
  </si>
  <si>
    <t>Справочно - в 2013 году (январь):</t>
  </si>
  <si>
    <t xml:space="preserve">г.Екатеринбург 11 марта  2013 г. </t>
  </si>
  <si>
    <t>Остаток средств (доход)</t>
  </si>
  <si>
    <t>СВОДНАЯ СМЕТА ДОХОДОВ И РАСХОДОВ НА 2012 год. ОТЧЕТ ОБ ИСПОЛНЕНИИ СМЕТЫ</t>
  </si>
  <si>
    <t>расшифровка платежей 2012 год</t>
  </si>
  <si>
    <t>При необходимости производится перераспеределение экономии, полученной по статьям сметы,  на финансрование непредведенных (незапланированных)  затрат по другим статьям  сметы</t>
  </si>
  <si>
    <t>Рассчитаны из средних затрат за 2009-2012 год ( в 2012 г.  550 руб.- интернет, 1450  руб. - телефония, почта)</t>
  </si>
  <si>
    <t>Восстановление системы пожаротушения и Абонентское обслуживание по договору со специализированным предпhиятием, имеющим лицензию на обслуживание</t>
  </si>
  <si>
    <t>24776 руб./месяц = Договор с ООО "ОТИС".  Затраты распределяются на 1 кв.м. жилой площади 24776 руб./месяц (увеличение на 15% к 2012 году).</t>
  </si>
  <si>
    <t xml:space="preserve">С 01.03.2013 г. 98 руб./час за 1 сотрудника ЧОП. Общее распределение затрат на охрану общественного порядка ЧОП между группами собственников  - с каждого квадратного метра площади жилых, нежилых помещений и  площади парковочного места  =  6,07 руб/кв.м. Итого = 77824 руб.  Оставшаяся сумма (63000 руб.)  на оплату услуг ЧОП погашается за счет средств, поступающих от использования придомовой территории под размещение автотранспорта (согласно положения): 28000 руб - дневное размещение автотранспорта собственников нежилых помещений, 40000 руб. - ночное размещение внутри двора автотранспорта собственников жилых помещений   </t>
  </si>
  <si>
    <t xml:space="preserve">В 2013 году зал не арендуется. </t>
  </si>
  <si>
    <t>С целью обеспечения безопасности и качества обслуживания всего дома, как единого целого хозяйствующего субъекта по дополнительному соглашению с ЧОП производится доплата за обеспечение порядка и безопассности непосредственно в подъездах жилого дома. В первом и втором подъездах находятся дежурные по подъездам.</t>
  </si>
  <si>
    <t>СВОДНАЯ СМЕТА ДОХОДОВ И РАСХОДОВ НА 2013 год  ( с 01 марта 2013 года).</t>
  </si>
  <si>
    <t>План мероприятий по техническому обслуживанию и ремонту общего имущества ТСЖ "Декабристов 75" на 2013 год</t>
  </si>
  <si>
    <t>Утвержден общим собранием членов ТСЖ 11 марта 2013 г. (протокол от "___"_____.2013)</t>
  </si>
  <si>
    <t>Утвержден на заседании правления 16 января 2013 г. (протокол №4 от 16\01.2013)</t>
  </si>
  <si>
    <t>Председатель правления _______________ Ю.А. Цыбин</t>
  </si>
  <si>
    <t>№ п/п</t>
  </si>
  <si>
    <t>Наименование работ</t>
  </si>
  <si>
    <t>Количество</t>
  </si>
  <si>
    <t>Сроки</t>
  </si>
  <si>
    <t>Ориент. Стоимость</t>
  </si>
  <si>
    <t>Исполнитель</t>
  </si>
  <si>
    <t>Планируемый источник финасирования</t>
  </si>
  <si>
    <t>Прочистка канализ. лотков и выпусков по ул.Декабристов и Ст. Разина</t>
  </si>
  <si>
    <t>4 выпуска</t>
  </si>
  <si>
    <t>май</t>
  </si>
  <si>
    <t>Горканализация, ООО "Орион"</t>
  </si>
  <si>
    <t>Смета 2013.</t>
  </si>
  <si>
    <t>Замена вентилей, задвижек, сбросников (по факту ревизии), кранов шаровых</t>
  </si>
  <si>
    <t>по факту</t>
  </si>
  <si>
    <t>май-июнь</t>
  </si>
  <si>
    <t>ООО "Орион"</t>
  </si>
  <si>
    <t xml:space="preserve">Смета 2013. </t>
  </si>
  <si>
    <t>Ремонт (замена) кафельного пола на 6-м этаже в 3-м подъезде</t>
  </si>
  <si>
    <t>3 кв.м.</t>
  </si>
  <si>
    <t>март, май</t>
  </si>
  <si>
    <t>ООО "РСУ-47"</t>
  </si>
  <si>
    <t xml:space="preserve">Фонд текущего ремонта </t>
  </si>
  <si>
    <t>Текущий ремонт потолков, стен,  откосов в 1-м, 2-м и 3-м  подъездах - покраска, штукатурка, установка уголков, сетки и т.д.)</t>
  </si>
  <si>
    <t>от чердака до холла в подъезде</t>
  </si>
  <si>
    <t>апрель-август</t>
  </si>
  <si>
    <t xml:space="preserve">Целевой сбор и средства Фонд текущего ремонта </t>
  </si>
  <si>
    <t>Частичный ремонт кровли  крыши (3 подъезд)</t>
  </si>
  <si>
    <t>40 кв.м</t>
  </si>
  <si>
    <t>апрель - май</t>
  </si>
  <si>
    <t>Фонд текущего ремонта</t>
  </si>
  <si>
    <t>Озеленение и благоустройство двора:</t>
  </si>
  <si>
    <t xml:space="preserve">приобретение рассады  400 шт </t>
  </si>
  <si>
    <t>400 шт</t>
  </si>
  <si>
    <t>ИП Андрюхин</t>
  </si>
  <si>
    <t>Смета 2013 + фонд (исп. придом. терр.)</t>
  </si>
  <si>
    <t>приобретение земли для газона у 3-го подъезда и перед офисом "Форт-диалог"</t>
  </si>
  <si>
    <t>5 м3</t>
  </si>
  <si>
    <t>посадка и уход за цветами</t>
  </si>
  <si>
    <t xml:space="preserve">Ремонт детской площадки (укрепление конструкций), покраска конструкций </t>
  </si>
  <si>
    <t>Покраска заборчика вокруг газонов</t>
  </si>
  <si>
    <t>100 м2</t>
  </si>
  <si>
    <t>Фонд "использования придомовой территории"</t>
  </si>
  <si>
    <t xml:space="preserve">Замена дверных доводчиков  </t>
  </si>
  <si>
    <t>4 шт</t>
  </si>
  <si>
    <t>май-сентябрь</t>
  </si>
  <si>
    <t>ИП Коряков</t>
  </si>
  <si>
    <t xml:space="preserve">Замена дверных петель  </t>
  </si>
  <si>
    <t>Замена электрических счетчиков в квартирах (вышедших из строя), по заявкам собственников</t>
  </si>
  <si>
    <t>20 шт.</t>
  </si>
  <si>
    <t>февраль-апрель</t>
  </si>
  <si>
    <t>за счет собственников</t>
  </si>
  <si>
    <t>Промывка системы отопления</t>
  </si>
  <si>
    <t>все стояки</t>
  </si>
  <si>
    <t>июнь</t>
  </si>
  <si>
    <t>Смета 2013г.</t>
  </si>
  <si>
    <t xml:space="preserve">Монтаж (замена) 3-х видеокамер (на столбе на детской площадке) </t>
  </si>
  <si>
    <t>3 шт.</t>
  </si>
  <si>
    <t>август-сентябрь</t>
  </si>
  <si>
    <t xml:space="preserve">Монтатаж (замена)  видеокамеры на офисную парковку со стороны ул.Декабристов </t>
  </si>
  <si>
    <t>1 шт.</t>
  </si>
  <si>
    <t xml:space="preserve">август    </t>
  </si>
  <si>
    <t xml:space="preserve">Ремонт протечек в паркинге </t>
  </si>
  <si>
    <t>18 кв.м</t>
  </si>
  <si>
    <t>Замена кабеля на 3-х cтолбах освещения (от щита)</t>
  </si>
  <si>
    <t>1000 м</t>
  </si>
  <si>
    <t>июль-август</t>
  </si>
  <si>
    <t xml:space="preserve">замена выпуска канализации 3-го подъезда с устранением контруклона </t>
  </si>
  <si>
    <t>12 м</t>
  </si>
  <si>
    <t>август</t>
  </si>
  <si>
    <t>Итого</t>
  </si>
  <si>
    <t>Система пожаротушения (обслуживание лиценз.орг-й) - НОВАЯ СТАТЬЯ В РАСХОДАХ</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</si>
</sst>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_ ;[Red]\-#,##0\ "/>
    <numFmt numFmtId="165" formatCode="#,##0.0"/>
    <numFmt numFmtId="166" formatCode="#,##0.00_ ;[Red]\-#,##0.00\ "/>
    <numFmt numFmtId="167" formatCode="#,##0.000"/>
    <numFmt numFmtId="168" formatCode="[$-FC19]d\ mmmm\ yyyy\ &quot;г.&quot;"/>
    <numFmt numFmtId="169" formatCode="[$-419]d\ mmm;@"/>
    <numFmt numFmtId="170" formatCode="[$-419]d\-mmm\-yyyy;@"/>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66">
    <font>
      <sz val="10"/>
      <name val="Arial Cyr"/>
      <family val="0"/>
    </font>
    <font>
      <sz val="12"/>
      <color indexed="8"/>
      <name val="Times New Roman"/>
      <family val="1"/>
    </font>
    <font>
      <b/>
      <sz val="12"/>
      <color indexed="8"/>
      <name val="Times New Roman"/>
      <family val="1"/>
    </font>
    <font>
      <b/>
      <sz val="12"/>
      <name val="Times New Roman"/>
      <family val="1"/>
    </font>
    <font>
      <sz val="12"/>
      <name val="Times New Roman"/>
      <family val="1"/>
    </font>
    <font>
      <b/>
      <sz val="16"/>
      <name val="Times New Roman"/>
      <family val="1"/>
    </font>
    <font>
      <b/>
      <sz val="12"/>
      <color indexed="61"/>
      <name val="Times New Roman"/>
      <family val="1"/>
    </font>
    <font>
      <b/>
      <sz val="12"/>
      <color indexed="10"/>
      <name val="Times New Roman"/>
      <family val="1"/>
    </font>
    <font>
      <i/>
      <sz val="12"/>
      <name val="Times New Roman"/>
      <family val="1"/>
    </font>
    <font>
      <b/>
      <i/>
      <sz val="12"/>
      <color indexed="8"/>
      <name val="Times New Roman"/>
      <family val="1"/>
    </font>
    <font>
      <i/>
      <sz val="12"/>
      <color indexed="8"/>
      <name val="Times New Roman"/>
      <family val="1"/>
    </font>
    <font>
      <b/>
      <i/>
      <sz val="12"/>
      <name val="Times New Roman"/>
      <family val="1"/>
    </font>
    <font>
      <sz val="12"/>
      <color indexed="10"/>
      <name val="Times New Roman"/>
      <family val="1"/>
    </font>
    <font>
      <b/>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name val="Times New Roman"/>
      <family val="1"/>
    </font>
    <font>
      <sz val="12"/>
      <color indexed="62"/>
      <name val="Times New Roman"/>
      <family val="1"/>
    </font>
    <font>
      <b/>
      <sz val="12"/>
      <color indexed="53"/>
      <name val="Times New Roman"/>
      <family val="1"/>
    </font>
    <font>
      <b/>
      <sz val="12"/>
      <color indexed="48"/>
      <name val="Times New Roman"/>
      <family val="1"/>
    </font>
    <font>
      <sz val="8"/>
      <name val="Arial Cyr"/>
      <family val="0"/>
    </font>
    <font>
      <u val="single"/>
      <sz val="10"/>
      <color indexed="12"/>
      <name val="Arial Cyr"/>
      <family val="0"/>
    </font>
    <font>
      <u val="single"/>
      <sz val="10"/>
      <color indexed="36"/>
      <name val="Arial Cyr"/>
      <family val="0"/>
    </font>
    <font>
      <b/>
      <sz val="12"/>
      <color indexed="62"/>
      <name val="Times New Roman"/>
      <family val="1"/>
    </font>
    <font>
      <b/>
      <sz val="11"/>
      <name val="Times New Roman"/>
      <family val="1"/>
    </font>
    <font>
      <sz val="11"/>
      <name val="Times New Roman"/>
      <family val="1"/>
    </font>
    <font>
      <b/>
      <sz val="11"/>
      <color indexed="10"/>
      <name val="Times New Roman"/>
      <family val="1"/>
    </font>
    <font>
      <b/>
      <sz val="16"/>
      <color indexed="61"/>
      <name val="Times New Roman"/>
      <family val="1"/>
    </font>
    <font>
      <i/>
      <sz val="11"/>
      <color indexed="10"/>
      <name val="Times New Roman"/>
      <family val="1"/>
    </font>
    <font>
      <i/>
      <sz val="11"/>
      <name val="Times New Roman"/>
      <family val="1"/>
    </font>
    <font>
      <b/>
      <sz val="12"/>
      <name val="Arial Cyr"/>
      <family val="0"/>
    </font>
    <font>
      <b/>
      <i/>
      <sz val="12"/>
      <color indexed="10"/>
      <name val="Times New Roman"/>
      <family val="1"/>
    </font>
    <font>
      <b/>
      <sz val="14"/>
      <color indexed="61"/>
      <name val="Times New Roman"/>
      <family val="1"/>
    </font>
    <font>
      <b/>
      <sz val="18"/>
      <color indexed="10"/>
      <name val="Times New Roman"/>
      <family val="1"/>
    </font>
    <font>
      <sz val="16"/>
      <color indexed="8"/>
      <name val="Times New Roman"/>
      <family val="1"/>
    </font>
    <font>
      <b/>
      <sz val="16"/>
      <color indexed="8"/>
      <name val="Times New Roman"/>
      <family val="1"/>
    </font>
    <font>
      <sz val="16"/>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60"/>
      <name val="Times New Roman"/>
      <family val="1"/>
    </font>
    <font>
      <b/>
      <sz val="14"/>
      <color indexed="60"/>
      <name val="Times New Roman"/>
      <family val="1"/>
    </font>
    <font>
      <b/>
      <sz val="16"/>
      <color indexed="60"/>
      <name val="Times New Roman"/>
      <family val="1"/>
    </font>
    <font>
      <b/>
      <i/>
      <sz val="12"/>
      <color indexed="60"/>
      <name val="Times New Roman"/>
      <family val="1"/>
    </font>
    <font>
      <b/>
      <sz val="16"/>
      <color indexed="10"/>
      <name val="Times New Roman"/>
      <family val="1"/>
    </font>
    <font>
      <sz val="14"/>
      <color indexed="10"/>
      <name val="Times New Roman"/>
      <family val="1"/>
    </font>
    <font>
      <b/>
      <sz val="14"/>
      <name val="Arial Cyr"/>
      <family val="0"/>
    </font>
    <font>
      <sz val="12"/>
      <name val="Arial Cyr"/>
      <family val="0"/>
    </font>
    <font>
      <b/>
      <sz val="10"/>
      <name val="Arial Cyr"/>
      <family val="0"/>
    </font>
    <font>
      <b/>
      <i/>
      <sz val="12"/>
      <name val="Arial Cyr"/>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8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style="medium"/>
      <right style="medium"/>
      <top style="medium"/>
      <bottom style="medium"/>
    </border>
    <border>
      <left>
        <color indexed="63"/>
      </left>
      <right style="thin"/>
      <top style="medium"/>
      <bottom>
        <color indexed="63"/>
      </bottom>
    </border>
    <border>
      <left style="thin"/>
      <right style="medium"/>
      <top style="medium"/>
      <bottom>
        <color indexed="63"/>
      </bottom>
    </border>
    <border>
      <left style="medium"/>
      <right style="thin"/>
      <top style="medium"/>
      <bottom>
        <color indexed="63"/>
      </bottom>
    </border>
    <border>
      <left style="medium"/>
      <right style="medium"/>
      <top style="medium"/>
      <bottom style="thin"/>
    </border>
    <border>
      <left>
        <color indexed="63"/>
      </left>
      <right style="thin"/>
      <top style="medium"/>
      <bottom style="thin"/>
    </border>
    <border>
      <left style="thin"/>
      <right style="medium"/>
      <top style="medium"/>
      <bottom style="thin"/>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style="medium"/>
      <right style="medium"/>
      <top style="thin"/>
      <bottom>
        <color indexed="63"/>
      </bottom>
    </border>
    <border>
      <left>
        <color indexed="63"/>
      </left>
      <right style="thin"/>
      <top style="thin"/>
      <bottom>
        <color indexed="63"/>
      </bottom>
    </border>
    <border>
      <left style="thin"/>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thin"/>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medium"/>
      <right style="thin"/>
      <top style="medium"/>
      <bottom style="thin"/>
    </border>
    <border>
      <left style="thin"/>
      <right style="thin"/>
      <top style="medium"/>
      <bottom style="thin"/>
    </border>
    <border>
      <left>
        <color indexed="63"/>
      </left>
      <right style="thin"/>
      <top>
        <color indexed="63"/>
      </top>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style="thin"/>
      <right style="medium"/>
      <top>
        <color indexed="63"/>
      </top>
      <bottom style="medium"/>
    </border>
    <border>
      <left style="thin"/>
      <right>
        <color indexed="63"/>
      </right>
      <top style="medium"/>
      <bottom>
        <color indexed="63"/>
      </bottom>
    </border>
    <border>
      <left style="thin"/>
      <right>
        <color indexed="63"/>
      </right>
      <top style="medium"/>
      <bottom style="thin"/>
    </border>
    <border>
      <left style="thin"/>
      <right>
        <color indexed="63"/>
      </right>
      <top>
        <color indexed="63"/>
      </top>
      <bottom style="medium"/>
    </border>
    <border>
      <left style="thin"/>
      <right style="thin"/>
      <top>
        <color indexed="63"/>
      </top>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style="medium"/>
      <right style="medium"/>
      <top>
        <color indexed="63"/>
      </top>
      <bottom style="medium"/>
    </border>
    <border>
      <left style="thin"/>
      <right style="thin"/>
      <top style="medium"/>
      <bottom>
        <color indexed="63"/>
      </bottom>
    </border>
    <border>
      <left style="medium"/>
      <right style="medium"/>
      <top style="thin"/>
      <bottom style="medium"/>
    </border>
    <border>
      <left style="medium"/>
      <right style="medium"/>
      <top>
        <color indexed="63"/>
      </top>
      <bottom style="thin"/>
    </border>
    <border>
      <left style="medium"/>
      <right style="medium"/>
      <top style="thin"/>
      <bottom style="thin"/>
    </border>
    <border>
      <left style="medium"/>
      <right>
        <color indexed="63"/>
      </right>
      <top style="thin"/>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8" borderId="0" applyNumberFormat="0" applyBorder="0" applyAlignment="0" applyProtection="0"/>
    <xf numFmtId="0" fontId="39" fillId="11" borderId="0" applyNumberFormat="0" applyBorder="0" applyAlignment="0" applyProtection="0"/>
    <xf numFmtId="0" fontId="40" fillId="12"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9" borderId="0" applyNumberFormat="0" applyBorder="0" applyAlignment="0" applyProtection="0"/>
    <xf numFmtId="0" fontId="41" fillId="7" borderId="1" applyNumberFormat="0" applyAlignment="0" applyProtection="0"/>
    <xf numFmtId="0" fontId="42" fillId="20" borderId="2" applyNumberFormat="0" applyAlignment="0" applyProtection="0"/>
    <xf numFmtId="0" fontId="43" fillId="20" borderId="1" applyNumberFormat="0" applyAlignment="0" applyProtection="0"/>
    <xf numFmtId="0" fontId="2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23"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4" borderId="0" applyNumberFormat="0" applyBorder="0" applyAlignment="0" applyProtection="0"/>
  </cellStyleXfs>
  <cellXfs count="1119">
    <xf numFmtId="0" fontId="0" fillId="0" borderId="0" xfId="0" applyAlignment="1">
      <alignment/>
    </xf>
    <xf numFmtId="164" fontId="1" fillId="0" borderId="0" xfId="0" applyNumberFormat="1" applyFont="1" applyAlignment="1">
      <alignment vertical="center"/>
    </xf>
    <xf numFmtId="164" fontId="1" fillId="24" borderId="0" xfId="0" applyNumberFormat="1" applyFont="1" applyFill="1" applyAlignment="1">
      <alignment vertical="center"/>
    </xf>
    <xf numFmtId="164" fontId="5" fillId="0" borderId="0" xfId="0" applyNumberFormat="1" applyFont="1" applyAlignment="1">
      <alignment horizontal="center" vertical="center" wrapText="1"/>
    </xf>
    <xf numFmtId="4" fontId="4" fillId="0" borderId="0" xfId="0" applyNumberFormat="1" applyFont="1" applyAlignment="1">
      <alignment vertical="center"/>
    </xf>
    <xf numFmtId="0" fontId="4" fillId="0" borderId="0" xfId="0" applyFont="1" applyAlignment="1">
      <alignment vertical="center"/>
    </xf>
    <xf numFmtId="3" fontId="5" fillId="0" borderId="0" xfId="0" applyNumberFormat="1" applyFont="1" applyAlignment="1">
      <alignment horizontal="center" vertical="center" wrapText="1"/>
    </xf>
    <xf numFmtId="3" fontId="4" fillId="24" borderId="0" xfId="0" applyNumberFormat="1" applyFont="1" applyFill="1" applyAlignment="1">
      <alignment horizontal="right" vertical="center"/>
    </xf>
    <xf numFmtId="3" fontId="4" fillId="0" borderId="0" xfId="0" applyNumberFormat="1" applyFont="1" applyFill="1" applyAlignment="1">
      <alignment horizontal="right" vertical="center"/>
    </xf>
    <xf numFmtId="10" fontId="4" fillId="24" borderId="0" xfId="0" applyNumberFormat="1" applyFont="1" applyFill="1" applyAlignment="1">
      <alignment horizontal="right" vertical="center"/>
    </xf>
    <xf numFmtId="164" fontId="4" fillId="24" borderId="0" xfId="0" applyNumberFormat="1" applyFont="1" applyFill="1" applyAlignment="1">
      <alignment horizontal="right" vertical="center"/>
    </xf>
    <xf numFmtId="4" fontId="4" fillId="24" borderId="0" xfId="0" applyNumberFormat="1" applyFont="1" applyFill="1" applyAlignment="1">
      <alignment horizontal="right" vertical="center"/>
    </xf>
    <xf numFmtId="164" fontId="1" fillId="0" borderId="10" xfId="0" applyNumberFormat="1" applyFont="1" applyBorder="1" applyAlignment="1">
      <alignment horizontal="center" vertical="center"/>
    </xf>
    <xf numFmtId="164" fontId="1" fillId="24" borderId="11" xfId="0" applyNumberFormat="1" applyFont="1" applyFill="1" applyBorder="1" applyAlignment="1">
      <alignment horizontal="center" vertical="center"/>
    </xf>
    <xf numFmtId="164" fontId="1" fillId="24" borderId="12" xfId="0" applyNumberFormat="1" applyFont="1" applyFill="1" applyBorder="1" applyAlignment="1">
      <alignment horizontal="center" vertical="center"/>
    </xf>
    <xf numFmtId="164" fontId="3" fillId="0" borderId="13" xfId="0" applyNumberFormat="1" applyFont="1" applyBorder="1" applyAlignment="1">
      <alignment horizontal="center" vertical="center" wrapText="1"/>
    </xf>
    <xf numFmtId="3" fontId="3" fillId="20" borderId="14"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10" fontId="3" fillId="4" borderId="15" xfId="0" applyNumberFormat="1" applyFont="1" applyFill="1" applyBorder="1" applyAlignment="1">
      <alignment horizontal="center" vertical="center" wrapText="1"/>
    </xf>
    <xf numFmtId="164" fontId="3" fillId="4" borderId="16" xfId="0" applyNumberFormat="1" applyFont="1" applyFill="1" applyBorder="1" applyAlignment="1">
      <alignment horizontal="center" vertical="center" wrapText="1"/>
    </xf>
    <xf numFmtId="4" fontId="3" fillId="4" borderId="16" xfId="0" applyNumberFormat="1" applyFont="1" applyFill="1" applyBorder="1" applyAlignment="1">
      <alignment horizontal="center" vertical="center" wrapText="1"/>
    </xf>
    <xf numFmtId="10" fontId="3" fillId="8" borderId="17" xfId="0" applyNumberFormat="1" applyFont="1" applyFill="1" applyBorder="1" applyAlignment="1">
      <alignment horizontal="center" vertical="center" wrapText="1"/>
    </xf>
    <xf numFmtId="164" fontId="3" fillId="8" borderId="16" xfId="0" applyNumberFormat="1" applyFont="1" applyFill="1" applyBorder="1" applyAlignment="1">
      <alignment horizontal="center" vertical="center" wrapText="1"/>
    </xf>
    <xf numFmtId="4" fontId="3" fillId="8" borderId="16" xfId="0" applyNumberFormat="1" applyFont="1" applyFill="1" applyBorder="1" applyAlignment="1">
      <alignment horizontal="center" vertical="center" wrapText="1"/>
    </xf>
    <xf numFmtId="10" fontId="3" fillId="7" borderId="17" xfId="0" applyNumberFormat="1" applyFont="1" applyFill="1" applyBorder="1" applyAlignment="1">
      <alignment horizontal="center" vertical="center" wrapText="1"/>
    </xf>
    <xf numFmtId="164" fontId="3" fillId="7" borderId="16" xfId="0" applyNumberFormat="1" applyFont="1" applyFill="1" applyBorder="1" applyAlignment="1">
      <alignment horizontal="center" vertical="center" wrapText="1"/>
    </xf>
    <xf numFmtId="4" fontId="3" fillId="7" borderId="16" xfId="0" applyNumberFormat="1" applyFont="1" applyFill="1" applyBorder="1" applyAlignment="1">
      <alignment horizontal="center" vertical="center" wrapText="1"/>
    </xf>
    <xf numFmtId="0" fontId="4" fillId="0" borderId="0" xfId="0" applyFont="1" applyAlignment="1">
      <alignment horizontal="center" vertical="center"/>
    </xf>
    <xf numFmtId="165" fontId="4" fillId="0" borderId="18" xfId="0" applyNumberFormat="1" applyFont="1" applyBorder="1" applyAlignment="1">
      <alignment vertical="center" wrapText="1"/>
    </xf>
    <xf numFmtId="165" fontId="4" fillId="24" borderId="19" xfId="0" applyNumberFormat="1" applyFont="1" applyFill="1" applyBorder="1" applyAlignment="1">
      <alignment horizontal="right" vertical="center"/>
    </xf>
    <xf numFmtId="165" fontId="4" fillId="24" borderId="20" xfId="0" applyNumberFormat="1" applyFont="1" applyFill="1" applyBorder="1" applyAlignment="1">
      <alignment horizontal="right" vertical="center"/>
    </xf>
    <xf numFmtId="165" fontId="4" fillId="0" borderId="21" xfId="0" applyNumberFormat="1" applyFont="1" applyBorder="1" applyAlignment="1">
      <alignment vertical="center" wrapText="1"/>
    </xf>
    <xf numFmtId="3" fontId="3" fillId="24" borderId="22" xfId="0" applyNumberFormat="1" applyFont="1" applyFill="1" applyBorder="1" applyAlignment="1">
      <alignment vertical="center"/>
    </xf>
    <xf numFmtId="3" fontId="3" fillId="0" borderId="22" xfId="0" applyNumberFormat="1" applyFont="1" applyFill="1" applyBorder="1" applyAlignment="1">
      <alignment vertical="center"/>
    </xf>
    <xf numFmtId="3" fontId="4" fillId="24" borderId="14" xfId="0" applyNumberFormat="1" applyFont="1" applyFill="1" applyBorder="1" applyAlignment="1">
      <alignment vertical="center"/>
    </xf>
    <xf numFmtId="165" fontId="3" fillId="24" borderId="23" xfId="0" applyNumberFormat="1" applyFont="1" applyFill="1" applyBorder="1" applyAlignment="1">
      <alignment vertical="center"/>
    </xf>
    <xf numFmtId="165" fontId="7" fillId="24" borderId="11" xfId="0" applyNumberFormat="1" applyFont="1" applyFill="1" applyBorder="1" applyAlignment="1">
      <alignment vertical="center"/>
    </xf>
    <xf numFmtId="165" fontId="3" fillId="24" borderId="24" xfId="0" applyNumberFormat="1" applyFont="1" applyFill="1" applyBorder="1" applyAlignment="1">
      <alignment vertical="center"/>
    </xf>
    <xf numFmtId="165" fontId="3" fillId="24" borderId="10" xfId="0" applyNumberFormat="1" applyFont="1" applyFill="1" applyBorder="1" applyAlignment="1">
      <alignment vertical="center"/>
    </xf>
    <xf numFmtId="165" fontId="3" fillId="24" borderId="11" xfId="0" applyNumberFormat="1" applyFont="1" applyFill="1" applyBorder="1" applyAlignment="1">
      <alignment vertical="center"/>
    </xf>
    <xf numFmtId="165" fontId="8" fillId="0" borderId="12" xfId="0" applyNumberFormat="1" applyFont="1" applyBorder="1" applyAlignment="1">
      <alignment vertical="center"/>
    </xf>
    <xf numFmtId="165" fontId="4" fillId="0" borderId="0" xfId="0" applyNumberFormat="1" applyFont="1" applyAlignment="1">
      <alignment vertical="center"/>
    </xf>
    <xf numFmtId="164" fontId="4" fillId="0" borderId="25" xfId="0" applyNumberFormat="1" applyFont="1" applyBorder="1" applyAlignment="1">
      <alignment vertical="center" wrapText="1"/>
    </xf>
    <xf numFmtId="3" fontId="4" fillId="24" borderId="26" xfId="0" applyNumberFormat="1" applyFont="1" applyFill="1" applyBorder="1" applyAlignment="1">
      <alignment horizontal="right" vertical="center"/>
    </xf>
    <xf numFmtId="3" fontId="4" fillId="24" borderId="27" xfId="0" applyNumberFormat="1" applyFont="1" applyFill="1" applyBorder="1" applyAlignment="1">
      <alignment horizontal="right" vertical="center"/>
    </xf>
    <xf numFmtId="164" fontId="4" fillId="0" borderId="28" xfId="0" applyNumberFormat="1" applyFont="1" applyBorder="1" applyAlignment="1">
      <alignment vertical="center" wrapText="1"/>
    </xf>
    <xf numFmtId="3" fontId="3" fillId="24" borderId="29" xfId="0" applyNumberFormat="1" applyFont="1" applyFill="1" applyBorder="1" applyAlignment="1">
      <alignment vertical="center"/>
    </xf>
    <xf numFmtId="3" fontId="3" fillId="0" borderId="29" xfId="0" applyNumberFormat="1" applyFont="1" applyFill="1" applyBorder="1" applyAlignment="1">
      <alignment vertical="center"/>
    </xf>
    <xf numFmtId="3" fontId="3" fillId="24" borderId="30" xfId="0" applyNumberFormat="1" applyFont="1" applyFill="1" applyBorder="1" applyAlignment="1">
      <alignment vertical="center"/>
    </xf>
    <xf numFmtId="10" fontId="3" fillId="24" borderId="31" xfId="0" applyNumberFormat="1" applyFont="1" applyFill="1" applyBorder="1" applyAlignment="1">
      <alignment vertical="center"/>
    </xf>
    <xf numFmtId="10" fontId="3" fillId="24" borderId="32" xfId="0" applyNumberFormat="1" applyFont="1" applyFill="1" applyBorder="1" applyAlignment="1">
      <alignment vertical="center"/>
    </xf>
    <xf numFmtId="4" fontId="3" fillId="24" borderId="33" xfId="0" applyNumberFormat="1" applyFont="1" applyFill="1" applyBorder="1" applyAlignment="1">
      <alignment vertical="center"/>
    </xf>
    <xf numFmtId="4" fontId="3" fillId="24" borderId="34" xfId="0" applyNumberFormat="1" applyFont="1" applyFill="1" applyBorder="1" applyAlignment="1">
      <alignment vertical="center"/>
    </xf>
    <xf numFmtId="4" fontId="4" fillId="0" borderId="35" xfId="0" applyNumberFormat="1" applyFont="1" applyBorder="1" applyAlignment="1">
      <alignment vertical="center"/>
    </xf>
    <xf numFmtId="3" fontId="4" fillId="24" borderId="10" xfId="0" applyNumberFormat="1" applyFont="1" applyFill="1" applyBorder="1" applyAlignment="1">
      <alignment horizontal="right" vertical="center"/>
    </xf>
    <xf numFmtId="3" fontId="4" fillId="24" borderId="12" xfId="0" applyNumberFormat="1" applyFont="1" applyFill="1" applyBorder="1" applyAlignment="1">
      <alignment horizontal="right" vertical="center"/>
    </xf>
    <xf numFmtId="164" fontId="4" fillId="0" borderId="21" xfId="0" applyNumberFormat="1" applyFont="1" applyBorder="1" applyAlignment="1">
      <alignment vertical="center" wrapText="1"/>
    </xf>
    <xf numFmtId="3" fontId="3" fillId="24" borderId="14" xfId="0" applyNumberFormat="1" applyFont="1" applyFill="1" applyBorder="1" applyAlignment="1">
      <alignment vertical="center"/>
    </xf>
    <xf numFmtId="10" fontId="3" fillId="24" borderId="23" xfId="0" applyNumberFormat="1" applyFont="1" applyFill="1" applyBorder="1" applyAlignment="1">
      <alignment vertical="center"/>
    </xf>
    <xf numFmtId="10" fontId="3" fillId="24" borderId="11" xfId="0" applyNumberFormat="1" applyFont="1" applyFill="1" applyBorder="1" applyAlignment="1">
      <alignment vertical="center"/>
    </xf>
    <xf numFmtId="4" fontId="3" fillId="24" borderId="24" xfId="0" applyNumberFormat="1" applyFont="1" applyFill="1" applyBorder="1" applyAlignment="1">
      <alignment vertical="center"/>
    </xf>
    <xf numFmtId="4" fontId="3" fillId="24" borderId="10" xfId="0" applyNumberFormat="1" applyFont="1" applyFill="1" applyBorder="1" applyAlignment="1">
      <alignment vertical="center"/>
    </xf>
    <xf numFmtId="4" fontId="4" fillId="0" borderId="12" xfId="0" applyNumberFormat="1" applyFont="1" applyBorder="1" applyAlignment="1">
      <alignment vertical="center"/>
    </xf>
    <xf numFmtId="164" fontId="2" fillId="22" borderId="10" xfId="0" applyNumberFormat="1" applyFont="1" applyFill="1" applyBorder="1" applyAlignment="1">
      <alignment vertical="center"/>
    </xf>
    <xf numFmtId="164" fontId="2" fillId="25" borderId="11" xfId="0" applyNumberFormat="1" applyFont="1" applyFill="1" applyBorder="1" applyAlignment="1">
      <alignment vertical="center"/>
    </xf>
    <xf numFmtId="164" fontId="1" fillId="22" borderId="12" xfId="0" applyNumberFormat="1" applyFont="1" applyFill="1" applyBorder="1" applyAlignment="1">
      <alignment vertical="center"/>
    </xf>
    <xf numFmtId="164" fontId="3" fillId="22" borderId="13" xfId="0" applyNumberFormat="1" applyFont="1" applyFill="1" applyBorder="1" applyAlignment="1">
      <alignment vertical="center" wrapText="1"/>
    </xf>
    <xf numFmtId="3" fontId="3" fillId="22" borderId="14" xfId="0" applyNumberFormat="1" applyFont="1" applyFill="1" applyBorder="1" applyAlignment="1">
      <alignment horizontal="right" vertical="center"/>
    </xf>
    <xf numFmtId="3" fontId="3" fillId="0" borderId="22" xfId="0" applyNumberFormat="1" applyFont="1" applyFill="1" applyBorder="1" applyAlignment="1">
      <alignment horizontal="right" vertical="center"/>
    </xf>
    <xf numFmtId="10" fontId="3" fillId="22" borderId="15" xfId="0" applyNumberFormat="1" applyFont="1" applyFill="1" applyBorder="1" applyAlignment="1">
      <alignment horizontal="right" vertical="center"/>
    </xf>
    <xf numFmtId="3" fontId="3" fillId="22" borderId="36" xfId="0" applyNumberFormat="1" applyFont="1" applyFill="1" applyBorder="1" applyAlignment="1">
      <alignment horizontal="right" vertical="center"/>
    </xf>
    <xf numFmtId="4" fontId="3" fillId="22" borderId="37" xfId="0" applyNumberFormat="1" applyFont="1" applyFill="1" applyBorder="1" applyAlignment="1">
      <alignment horizontal="right" vertical="center"/>
    </xf>
    <xf numFmtId="10" fontId="3" fillId="22" borderId="17" xfId="0" applyNumberFormat="1" applyFont="1" applyFill="1" applyBorder="1" applyAlignment="1">
      <alignment horizontal="right" vertical="center"/>
    </xf>
    <xf numFmtId="164" fontId="9" fillId="22" borderId="38" xfId="0" applyNumberFormat="1" applyFont="1" applyFill="1" applyBorder="1" applyAlignment="1">
      <alignment vertical="center"/>
    </xf>
    <xf numFmtId="164" fontId="9" fillId="25" borderId="39" xfId="0" applyNumberFormat="1" applyFont="1" applyFill="1" applyBorder="1" applyAlignment="1">
      <alignment vertical="center"/>
    </xf>
    <xf numFmtId="164" fontId="10" fillId="24" borderId="27" xfId="0" applyNumberFormat="1" applyFont="1" applyFill="1" applyBorder="1" applyAlignment="1">
      <alignment vertical="center"/>
    </xf>
    <xf numFmtId="10" fontId="8" fillId="24" borderId="26" xfId="0" applyNumberFormat="1" applyFont="1" applyFill="1" applyBorder="1" applyAlignment="1">
      <alignment horizontal="right" vertical="center"/>
    </xf>
    <xf numFmtId="164" fontId="8" fillId="24" borderId="27" xfId="0" applyNumberFormat="1" applyFont="1" applyFill="1" applyBorder="1" applyAlignment="1">
      <alignment horizontal="right" vertical="center"/>
    </xf>
    <xf numFmtId="4" fontId="8" fillId="24" borderId="40" xfId="0" applyNumberFormat="1" applyFont="1" applyFill="1" applyBorder="1" applyAlignment="1">
      <alignment horizontal="right" vertical="center"/>
    </xf>
    <xf numFmtId="10" fontId="8" fillId="24" borderId="38" xfId="0" applyNumberFormat="1" applyFont="1" applyFill="1" applyBorder="1" applyAlignment="1">
      <alignment horizontal="right" vertical="center"/>
    </xf>
    <xf numFmtId="164" fontId="8" fillId="24" borderId="39" xfId="0" applyNumberFormat="1" applyFont="1" applyFill="1" applyBorder="1" applyAlignment="1">
      <alignment horizontal="right" vertical="center"/>
    </xf>
    <xf numFmtId="4" fontId="8" fillId="24" borderId="41" xfId="0" applyNumberFormat="1" applyFont="1" applyFill="1" applyBorder="1" applyAlignment="1">
      <alignment horizontal="right" vertical="center"/>
    </xf>
    <xf numFmtId="0" fontId="8" fillId="0" borderId="0" xfId="0" applyFont="1" applyAlignment="1">
      <alignment vertical="center"/>
    </xf>
    <xf numFmtId="164" fontId="3" fillId="22" borderId="10" xfId="0" applyNumberFormat="1" applyFont="1" applyFill="1" applyBorder="1" applyAlignment="1">
      <alignment vertical="center"/>
    </xf>
    <xf numFmtId="164" fontId="3" fillId="25" borderId="11" xfId="0" applyNumberFormat="1" applyFont="1" applyFill="1" applyBorder="1" applyAlignment="1">
      <alignment vertical="center"/>
    </xf>
    <xf numFmtId="164" fontId="3" fillId="0" borderId="12" xfId="0" applyNumberFormat="1" applyFont="1" applyFill="1" applyBorder="1" applyAlignment="1">
      <alignment vertical="center"/>
    </xf>
    <xf numFmtId="164" fontId="4" fillId="0" borderId="13" xfId="0" applyNumberFormat="1" applyFont="1" applyFill="1" applyBorder="1" applyAlignment="1">
      <alignment vertical="center" wrapText="1"/>
    </xf>
    <xf numFmtId="10" fontId="3" fillId="0" borderId="23" xfId="0" applyNumberFormat="1" applyFont="1" applyFill="1" applyBorder="1" applyAlignment="1">
      <alignment horizontal="right" vertical="center"/>
    </xf>
    <xf numFmtId="10" fontId="4" fillId="0" borderId="10" xfId="0" applyNumberFormat="1" applyFont="1" applyFill="1" applyBorder="1" applyAlignment="1">
      <alignment horizontal="right" vertical="center"/>
    </xf>
    <xf numFmtId="0" fontId="3" fillId="0" borderId="0" xfId="0" applyFont="1" applyFill="1" applyAlignment="1">
      <alignment vertical="center"/>
    </xf>
    <xf numFmtId="164" fontId="2" fillId="22" borderId="42" xfId="0" applyNumberFormat="1" applyFont="1" applyFill="1" applyBorder="1" applyAlignment="1">
      <alignment vertical="center"/>
    </xf>
    <xf numFmtId="164" fontId="2" fillId="25" borderId="43" xfId="0" applyNumberFormat="1" applyFont="1" applyFill="1" applyBorder="1" applyAlignment="1">
      <alignment vertical="center"/>
    </xf>
    <xf numFmtId="164" fontId="1" fillId="24" borderId="20" xfId="0" applyNumberFormat="1" applyFont="1" applyFill="1" applyBorder="1" applyAlignment="1">
      <alignment vertical="center"/>
    </xf>
    <xf numFmtId="164" fontId="4" fillId="24" borderId="22" xfId="0" applyNumberFormat="1" applyFont="1" applyFill="1" applyBorder="1" applyAlignment="1">
      <alignment vertical="center" wrapText="1"/>
    </xf>
    <xf numFmtId="3" fontId="3" fillId="22" borderId="14" xfId="0" applyNumberFormat="1" applyFont="1" applyFill="1" applyBorder="1" applyAlignment="1">
      <alignment vertical="center"/>
    </xf>
    <xf numFmtId="3" fontId="3" fillId="0" borderId="13" xfId="0" applyNumberFormat="1" applyFont="1" applyFill="1" applyBorder="1" applyAlignment="1">
      <alignment vertical="center"/>
    </xf>
    <xf numFmtId="10" fontId="4" fillId="24" borderId="10" xfId="0" applyNumberFormat="1" applyFont="1" applyFill="1" applyBorder="1" applyAlignment="1">
      <alignment horizontal="right" vertical="center"/>
    </xf>
    <xf numFmtId="3" fontId="4" fillId="0" borderId="23" xfId="0" applyNumberFormat="1" applyFont="1" applyFill="1" applyBorder="1" applyAlignment="1">
      <alignment vertical="center"/>
    </xf>
    <xf numFmtId="3" fontId="4" fillId="0" borderId="10" xfId="0" applyNumberFormat="1" applyFont="1" applyFill="1" applyBorder="1" applyAlignment="1">
      <alignment vertical="center"/>
    </xf>
    <xf numFmtId="164" fontId="4" fillId="0" borderId="12" xfId="0" applyNumberFormat="1" applyFont="1" applyFill="1" applyBorder="1" applyAlignment="1">
      <alignment vertical="center"/>
    </xf>
    <xf numFmtId="164" fontId="4" fillId="0" borderId="13" xfId="53" applyNumberFormat="1" applyFont="1" applyFill="1" applyBorder="1" applyAlignment="1">
      <alignment vertical="center" wrapText="1"/>
      <protection/>
    </xf>
    <xf numFmtId="3" fontId="3" fillId="0" borderId="14" xfId="0" applyNumberFormat="1" applyFont="1" applyFill="1" applyBorder="1" applyAlignment="1">
      <alignment vertical="center"/>
    </xf>
    <xf numFmtId="10" fontId="3" fillId="0" borderId="44" xfId="0" applyNumberFormat="1" applyFont="1" applyFill="1" applyBorder="1" applyAlignment="1">
      <alignment vertical="center"/>
    </xf>
    <xf numFmtId="164" fontId="4" fillId="0" borderId="10" xfId="0" applyNumberFormat="1" applyFont="1" applyFill="1" applyBorder="1" applyAlignment="1">
      <alignment horizontal="right" vertical="center"/>
    </xf>
    <xf numFmtId="0" fontId="4" fillId="0" borderId="10" xfId="0" applyFont="1" applyFill="1" applyBorder="1" applyAlignment="1">
      <alignment vertical="center"/>
    </xf>
    <xf numFmtId="0" fontId="4" fillId="0" borderId="0" xfId="0" applyFont="1" applyFill="1" applyAlignment="1">
      <alignment vertical="center"/>
    </xf>
    <xf numFmtId="10" fontId="3" fillId="0" borderId="23" xfId="0" applyNumberFormat="1" applyFont="1" applyFill="1" applyBorder="1" applyAlignment="1">
      <alignment vertical="center"/>
    </xf>
    <xf numFmtId="164" fontId="1" fillId="24" borderId="12" xfId="0" applyNumberFormat="1" applyFont="1" applyFill="1" applyBorder="1" applyAlignment="1">
      <alignment vertical="center"/>
    </xf>
    <xf numFmtId="164" fontId="4" fillId="24" borderId="13" xfId="0" applyNumberFormat="1" applyFont="1" applyFill="1" applyBorder="1" applyAlignment="1">
      <alignment vertical="center" wrapText="1"/>
    </xf>
    <xf numFmtId="10" fontId="4" fillId="24" borderId="23" xfId="0" applyNumberFormat="1" applyFont="1" applyFill="1" applyBorder="1" applyAlignment="1">
      <alignment vertical="center"/>
    </xf>
    <xf numFmtId="164" fontId="4" fillId="24" borderId="11" xfId="0" applyNumberFormat="1" applyFont="1" applyFill="1" applyBorder="1" applyAlignment="1">
      <alignment horizontal="right" vertical="center"/>
    </xf>
    <xf numFmtId="3" fontId="3" fillId="0" borderId="14" xfId="0" applyNumberFormat="1" applyFont="1" applyFill="1" applyBorder="1" applyAlignment="1">
      <alignment horizontal="right" vertical="center"/>
    </xf>
    <xf numFmtId="0" fontId="3" fillId="0" borderId="0" xfId="0" applyFont="1" applyAlignment="1">
      <alignment vertical="center"/>
    </xf>
    <xf numFmtId="164" fontId="3" fillId="22" borderId="34" xfId="0" applyNumberFormat="1" applyFont="1" applyFill="1" applyBorder="1" applyAlignment="1">
      <alignment vertical="center"/>
    </xf>
    <xf numFmtId="164" fontId="3" fillId="25" borderId="32"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0" borderId="0" xfId="0" applyNumberFormat="1" applyFont="1" applyFill="1" applyBorder="1" applyAlignment="1">
      <alignment vertical="center" wrapText="1"/>
    </xf>
    <xf numFmtId="3" fontId="3" fillId="0" borderId="0" xfId="0" applyNumberFormat="1" applyFont="1" applyFill="1" applyBorder="1" applyAlignment="1">
      <alignment vertical="center"/>
    </xf>
    <xf numFmtId="3" fontId="3" fillId="0" borderId="28" xfId="0" applyNumberFormat="1" applyFont="1" applyFill="1" applyBorder="1" applyAlignment="1">
      <alignment vertical="center"/>
    </xf>
    <xf numFmtId="164" fontId="3" fillId="0" borderId="10" xfId="0" applyNumberFormat="1" applyFont="1" applyFill="1" applyBorder="1" applyAlignment="1">
      <alignment vertical="center"/>
    </xf>
    <xf numFmtId="164" fontId="3" fillId="0" borderId="11" xfId="0" applyNumberFormat="1" applyFont="1" applyFill="1" applyBorder="1" applyAlignment="1">
      <alignment vertical="center"/>
    </xf>
    <xf numFmtId="4" fontId="3" fillId="0" borderId="13" xfId="0" applyNumberFormat="1" applyFont="1" applyFill="1" applyBorder="1" applyAlignment="1">
      <alignment vertical="center"/>
    </xf>
    <xf numFmtId="3" fontId="3" fillId="0" borderId="21" xfId="0" applyNumberFormat="1" applyFont="1" applyFill="1" applyBorder="1" applyAlignment="1">
      <alignment vertical="center"/>
    </xf>
    <xf numFmtId="164" fontId="1" fillId="22" borderId="11" xfId="0" applyNumberFormat="1" applyFont="1" applyFill="1" applyBorder="1" applyAlignment="1">
      <alignment vertical="center"/>
    </xf>
    <xf numFmtId="164" fontId="1" fillId="7" borderId="12" xfId="0" applyNumberFormat="1" applyFont="1" applyFill="1" applyBorder="1" applyAlignment="1">
      <alignment vertical="center"/>
    </xf>
    <xf numFmtId="10" fontId="3" fillId="22" borderId="23" xfId="0" applyNumberFormat="1" applyFont="1" applyFill="1" applyBorder="1" applyAlignment="1">
      <alignment horizontal="right" vertical="center"/>
    </xf>
    <xf numFmtId="164" fontId="3" fillId="22" borderId="12" xfId="0" applyNumberFormat="1" applyFont="1" applyFill="1" applyBorder="1" applyAlignment="1">
      <alignment horizontal="right" vertical="center"/>
    </xf>
    <xf numFmtId="4" fontId="3" fillId="22" borderId="13" xfId="0" applyNumberFormat="1" applyFont="1" applyFill="1" applyBorder="1" applyAlignment="1">
      <alignment horizontal="right" vertical="center"/>
    </xf>
    <xf numFmtId="10" fontId="3" fillId="22" borderId="10" xfId="0" applyNumberFormat="1" applyFont="1" applyFill="1" applyBorder="1" applyAlignment="1">
      <alignment horizontal="right" vertical="center"/>
    </xf>
    <xf numFmtId="164" fontId="3" fillId="22" borderId="11" xfId="0" applyNumberFormat="1" applyFont="1" applyFill="1" applyBorder="1" applyAlignment="1">
      <alignment horizontal="right" vertical="center"/>
    </xf>
    <xf numFmtId="4" fontId="3" fillId="22" borderId="24" xfId="0" applyNumberFormat="1" applyFont="1" applyFill="1" applyBorder="1" applyAlignment="1">
      <alignment horizontal="right" vertical="center"/>
    </xf>
    <xf numFmtId="4" fontId="4" fillId="22" borderId="12" xfId="0" applyNumberFormat="1" applyFont="1" applyFill="1" applyBorder="1" applyAlignment="1">
      <alignment vertical="center"/>
    </xf>
    <xf numFmtId="164" fontId="1" fillId="22" borderId="45" xfId="0" applyNumberFormat="1" applyFont="1" applyFill="1" applyBorder="1" applyAlignment="1">
      <alignment vertical="center"/>
    </xf>
    <xf numFmtId="164" fontId="1" fillId="24" borderId="46" xfId="0" applyNumberFormat="1" applyFont="1" applyFill="1" applyBorder="1" applyAlignment="1">
      <alignment vertical="center"/>
    </xf>
    <xf numFmtId="164" fontId="1" fillId="7" borderId="47" xfId="0" applyNumberFormat="1" applyFont="1" applyFill="1" applyBorder="1" applyAlignment="1">
      <alignment vertical="center"/>
    </xf>
    <xf numFmtId="164" fontId="4" fillId="24" borderId="48" xfId="0" applyNumberFormat="1" applyFont="1" applyFill="1" applyBorder="1" applyAlignment="1">
      <alignment vertical="center" wrapText="1"/>
    </xf>
    <xf numFmtId="10" fontId="4" fillId="24" borderId="49" xfId="0" applyNumberFormat="1" applyFont="1" applyFill="1" applyBorder="1" applyAlignment="1">
      <alignment horizontal="right" vertical="center"/>
    </xf>
    <xf numFmtId="164" fontId="4" fillId="24" borderId="47" xfId="0" applyNumberFormat="1" applyFont="1" applyFill="1" applyBorder="1" applyAlignment="1">
      <alignment horizontal="right" vertical="center"/>
    </xf>
    <xf numFmtId="4" fontId="4" fillId="24" borderId="48" xfId="0" applyNumberFormat="1" applyFont="1" applyFill="1" applyBorder="1" applyAlignment="1">
      <alignment horizontal="right" vertical="center"/>
    </xf>
    <xf numFmtId="10" fontId="4" fillId="24" borderId="45" xfId="0" applyNumberFormat="1" applyFont="1" applyFill="1" applyBorder="1" applyAlignment="1">
      <alignment horizontal="right" vertical="center"/>
    </xf>
    <xf numFmtId="164" fontId="4" fillId="24" borderId="46" xfId="0" applyNumberFormat="1" applyFont="1" applyFill="1" applyBorder="1" applyAlignment="1">
      <alignment horizontal="right" vertical="center"/>
    </xf>
    <xf numFmtId="4" fontId="4" fillId="24" borderId="50" xfId="0" applyNumberFormat="1" applyFont="1" applyFill="1" applyBorder="1" applyAlignment="1">
      <alignment horizontal="right" vertical="center"/>
    </xf>
    <xf numFmtId="4" fontId="4" fillId="24" borderId="47" xfId="0" applyNumberFormat="1" applyFont="1" applyFill="1" applyBorder="1" applyAlignment="1">
      <alignment vertical="center"/>
    </xf>
    <xf numFmtId="0" fontId="4" fillId="24" borderId="0" xfId="0" applyFont="1" applyFill="1" applyAlignment="1">
      <alignment vertical="center"/>
    </xf>
    <xf numFmtId="164" fontId="1" fillId="22" borderId="51" xfId="0" applyNumberFormat="1" applyFont="1" applyFill="1" applyBorder="1" applyAlignment="1">
      <alignment vertical="center"/>
    </xf>
    <xf numFmtId="164" fontId="1" fillId="24" borderId="52" xfId="0" applyNumberFormat="1" applyFont="1" applyFill="1" applyBorder="1" applyAlignment="1">
      <alignment vertical="center"/>
    </xf>
    <xf numFmtId="164" fontId="1" fillId="7" borderId="53" xfId="0" applyNumberFormat="1" applyFont="1" applyFill="1" applyBorder="1" applyAlignment="1">
      <alignment vertical="center"/>
    </xf>
    <xf numFmtId="164" fontId="4" fillId="24" borderId="54" xfId="0" applyNumberFormat="1" applyFont="1" applyFill="1" applyBorder="1" applyAlignment="1">
      <alignment horizontal="right" vertical="center" wrapText="1"/>
    </xf>
    <xf numFmtId="10" fontId="4" fillId="24" borderId="55" xfId="0" applyNumberFormat="1" applyFont="1" applyFill="1" applyBorder="1" applyAlignment="1">
      <alignment vertical="center"/>
    </xf>
    <xf numFmtId="164" fontId="4" fillId="24" borderId="53" xfId="0" applyNumberFormat="1" applyFont="1" applyFill="1" applyBorder="1" applyAlignment="1">
      <alignment vertical="center"/>
    </xf>
    <xf numFmtId="4" fontId="4" fillId="24" borderId="54" xfId="0" applyNumberFormat="1" applyFont="1" applyFill="1" applyBorder="1" applyAlignment="1">
      <alignment vertical="center"/>
    </xf>
    <xf numFmtId="10" fontId="4" fillId="24" borderId="51" xfId="0" applyNumberFormat="1" applyFont="1" applyFill="1" applyBorder="1" applyAlignment="1">
      <alignment vertical="center"/>
    </xf>
    <xf numFmtId="164" fontId="4" fillId="24" borderId="52" xfId="0" applyNumberFormat="1" applyFont="1" applyFill="1" applyBorder="1" applyAlignment="1">
      <alignment vertical="center"/>
    </xf>
    <xf numFmtId="4" fontId="4" fillId="24" borderId="56" xfId="0" applyNumberFormat="1" applyFont="1" applyFill="1" applyBorder="1" applyAlignment="1">
      <alignment vertical="center"/>
    </xf>
    <xf numFmtId="4" fontId="4" fillId="24" borderId="53" xfId="0" applyNumberFormat="1" applyFont="1" applyFill="1" applyBorder="1" applyAlignment="1">
      <alignment vertical="center"/>
    </xf>
    <xf numFmtId="164" fontId="4" fillId="24" borderId="54" xfId="0" applyNumberFormat="1" applyFont="1" applyFill="1" applyBorder="1" applyAlignment="1">
      <alignment vertical="center" wrapText="1"/>
    </xf>
    <xf numFmtId="10" fontId="4" fillId="24" borderId="55" xfId="0" applyNumberFormat="1" applyFont="1" applyFill="1" applyBorder="1" applyAlignment="1">
      <alignment horizontal="right" vertical="center"/>
    </xf>
    <xf numFmtId="164" fontId="4" fillId="24" borderId="53" xfId="0" applyNumberFormat="1" applyFont="1" applyFill="1" applyBorder="1" applyAlignment="1">
      <alignment horizontal="right" vertical="center"/>
    </xf>
    <xf numFmtId="4" fontId="4" fillId="24" borderId="54" xfId="0" applyNumberFormat="1" applyFont="1" applyFill="1" applyBorder="1" applyAlignment="1">
      <alignment horizontal="right" vertical="center"/>
    </xf>
    <xf numFmtId="10" fontId="4" fillId="24" borderId="51" xfId="0" applyNumberFormat="1" applyFont="1" applyFill="1" applyBorder="1" applyAlignment="1">
      <alignment horizontal="right" vertical="center"/>
    </xf>
    <xf numFmtId="164" fontId="4" fillId="24" borderId="52" xfId="0" applyNumberFormat="1" applyFont="1" applyFill="1" applyBorder="1" applyAlignment="1">
      <alignment horizontal="right" vertical="center"/>
    </xf>
    <xf numFmtId="4" fontId="4" fillId="24" borderId="56" xfId="0" applyNumberFormat="1" applyFont="1" applyFill="1" applyBorder="1" applyAlignment="1">
      <alignment horizontal="right" vertical="center"/>
    </xf>
    <xf numFmtId="164" fontId="12" fillId="22" borderId="51" xfId="0" applyNumberFormat="1" applyFont="1" applyFill="1" applyBorder="1" applyAlignment="1">
      <alignment vertical="center"/>
    </xf>
    <xf numFmtId="164" fontId="12" fillId="24" borderId="52" xfId="0" applyNumberFormat="1" applyFont="1" applyFill="1" applyBorder="1" applyAlignment="1">
      <alignment vertical="center"/>
    </xf>
    <xf numFmtId="164" fontId="12" fillId="7" borderId="53" xfId="0" applyNumberFormat="1" applyFont="1" applyFill="1" applyBorder="1" applyAlignment="1">
      <alignment vertical="center"/>
    </xf>
    <xf numFmtId="10" fontId="12" fillId="24" borderId="55" xfId="0" applyNumberFormat="1" applyFont="1" applyFill="1" applyBorder="1" applyAlignment="1">
      <alignment vertical="center"/>
    </xf>
    <xf numFmtId="164" fontId="12" fillId="24" borderId="53" xfId="0" applyNumberFormat="1" applyFont="1" applyFill="1" applyBorder="1" applyAlignment="1">
      <alignment vertical="center"/>
    </xf>
    <xf numFmtId="4" fontId="12" fillId="24" borderId="54" xfId="0" applyNumberFormat="1" applyFont="1" applyFill="1" applyBorder="1" applyAlignment="1">
      <alignment vertical="center"/>
    </xf>
    <xf numFmtId="10" fontId="12" fillId="24" borderId="51" xfId="0" applyNumberFormat="1" applyFont="1" applyFill="1" applyBorder="1" applyAlignment="1">
      <alignment vertical="center"/>
    </xf>
    <xf numFmtId="4" fontId="12" fillId="24" borderId="56" xfId="0" applyNumberFormat="1" applyFont="1" applyFill="1" applyBorder="1" applyAlignment="1">
      <alignment vertical="center"/>
    </xf>
    <xf numFmtId="4" fontId="12" fillId="24" borderId="53" xfId="0" applyNumberFormat="1" applyFont="1" applyFill="1" applyBorder="1" applyAlignment="1">
      <alignment vertical="center"/>
    </xf>
    <xf numFmtId="0" fontId="12" fillId="24" borderId="0" xfId="0" applyFont="1" applyFill="1" applyAlignment="1">
      <alignment vertical="center"/>
    </xf>
    <xf numFmtId="164" fontId="8" fillId="24" borderId="54" xfId="0" applyNumberFormat="1" applyFont="1" applyFill="1" applyBorder="1" applyAlignment="1">
      <alignment horizontal="right" vertical="center" wrapText="1"/>
    </xf>
    <xf numFmtId="164" fontId="1" fillId="22" borderId="57" xfId="0" applyNumberFormat="1" applyFont="1" applyFill="1" applyBorder="1" applyAlignment="1">
      <alignment vertical="center"/>
    </xf>
    <xf numFmtId="164" fontId="1" fillId="24" borderId="58" xfId="0" applyNumberFormat="1" applyFont="1" applyFill="1" applyBorder="1" applyAlignment="1">
      <alignment vertical="center"/>
    </xf>
    <xf numFmtId="164" fontId="1" fillId="7" borderId="59" xfId="0" applyNumberFormat="1" applyFont="1" applyFill="1" applyBorder="1" applyAlignment="1">
      <alignment vertical="center"/>
    </xf>
    <xf numFmtId="164" fontId="4" fillId="24" borderId="60" xfId="0" applyNumberFormat="1" applyFont="1" applyFill="1" applyBorder="1" applyAlignment="1">
      <alignment horizontal="right" vertical="center" wrapText="1"/>
    </xf>
    <xf numFmtId="10" fontId="4" fillId="24" borderId="61" xfId="0" applyNumberFormat="1" applyFont="1" applyFill="1" applyBorder="1" applyAlignment="1">
      <alignment vertical="center"/>
    </xf>
    <xf numFmtId="164" fontId="4" fillId="24" borderId="59" xfId="0" applyNumberFormat="1" applyFont="1" applyFill="1" applyBorder="1" applyAlignment="1">
      <alignment vertical="center"/>
    </xf>
    <xf numFmtId="4" fontId="4" fillId="24" borderId="60" xfId="0" applyNumberFormat="1" applyFont="1" applyFill="1" applyBorder="1" applyAlignment="1">
      <alignment vertical="center"/>
    </xf>
    <xf numFmtId="10" fontId="4" fillId="24" borderId="57" xfId="0" applyNumberFormat="1" applyFont="1" applyFill="1" applyBorder="1" applyAlignment="1">
      <alignment vertical="center"/>
    </xf>
    <xf numFmtId="164" fontId="4" fillId="24" borderId="58" xfId="0" applyNumberFormat="1" applyFont="1" applyFill="1" applyBorder="1" applyAlignment="1">
      <alignment vertical="center"/>
    </xf>
    <xf numFmtId="4" fontId="4" fillId="24" borderId="62" xfId="0" applyNumberFormat="1" applyFont="1" applyFill="1" applyBorder="1" applyAlignment="1">
      <alignment vertical="center"/>
    </xf>
    <xf numFmtId="4" fontId="4" fillId="24" borderId="59" xfId="0" applyNumberFormat="1" applyFont="1" applyFill="1" applyBorder="1" applyAlignment="1">
      <alignment vertical="center"/>
    </xf>
    <xf numFmtId="0" fontId="4" fillId="0" borderId="63" xfId="0" applyFont="1" applyFill="1" applyBorder="1" applyAlignment="1">
      <alignment vertical="center"/>
    </xf>
    <xf numFmtId="0" fontId="4" fillId="0" borderId="37" xfId="0" applyFont="1" applyFill="1" applyBorder="1" applyAlignment="1">
      <alignment vertical="center"/>
    </xf>
    <xf numFmtId="0" fontId="4" fillId="0" borderId="37" xfId="0" applyFont="1" applyFill="1" applyBorder="1" applyAlignment="1">
      <alignment vertical="center" wrapText="1"/>
    </xf>
    <xf numFmtId="3" fontId="4" fillId="0" borderId="37" xfId="0" applyNumberFormat="1" applyFont="1" applyFill="1" applyBorder="1" applyAlignment="1">
      <alignment vertical="center"/>
    </xf>
    <xf numFmtId="3" fontId="3" fillId="0" borderId="37" xfId="0" applyNumberFormat="1" applyFont="1" applyFill="1" applyBorder="1" applyAlignment="1">
      <alignment horizontal="right" vertical="center"/>
    </xf>
    <xf numFmtId="10" fontId="4" fillId="0" borderId="37" xfId="0" applyNumberFormat="1" applyFont="1" applyFill="1" applyBorder="1" applyAlignment="1">
      <alignment vertical="center"/>
    </xf>
    <xf numFmtId="4" fontId="4" fillId="0" borderId="37" xfId="0" applyNumberFormat="1" applyFont="1" applyFill="1" applyBorder="1" applyAlignment="1">
      <alignment vertical="center"/>
    </xf>
    <xf numFmtId="4" fontId="4" fillId="0" borderId="64" xfId="0" applyNumberFormat="1" applyFont="1" applyFill="1" applyBorder="1" applyAlignment="1">
      <alignment vertical="center"/>
    </xf>
    <xf numFmtId="0" fontId="4" fillId="0" borderId="29"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3" fontId="4" fillId="0" borderId="0" xfId="0" applyNumberFormat="1" applyFont="1" applyFill="1" applyBorder="1" applyAlignment="1">
      <alignment vertical="center"/>
    </xf>
    <xf numFmtId="3" fontId="3" fillId="0" borderId="0" xfId="0" applyNumberFormat="1" applyFont="1" applyFill="1" applyBorder="1" applyAlignment="1">
      <alignment horizontal="right" vertical="center"/>
    </xf>
    <xf numFmtId="10" fontId="4" fillId="0" borderId="0" xfId="0" applyNumberFormat="1" applyFont="1" applyFill="1" applyBorder="1" applyAlignment="1">
      <alignment vertical="center"/>
    </xf>
    <xf numFmtId="4" fontId="4" fillId="0" borderId="0" xfId="0" applyNumberFormat="1" applyFont="1" applyFill="1" applyBorder="1" applyAlignment="1">
      <alignment vertical="center"/>
    </xf>
    <xf numFmtId="4" fontId="4" fillId="0" borderId="28" xfId="0" applyNumberFormat="1" applyFont="1" applyFill="1" applyBorder="1" applyAlignment="1">
      <alignment vertical="center"/>
    </xf>
    <xf numFmtId="0" fontId="4" fillId="0" borderId="65" xfId="0" applyFont="1" applyFill="1" applyBorder="1" applyAlignment="1">
      <alignment vertical="center"/>
    </xf>
    <xf numFmtId="0" fontId="4" fillId="0" borderId="66" xfId="0" applyFont="1" applyFill="1" applyBorder="1" applyAlignment="1">
      <alignment vertical="center"/>
    </xf>
    <xf numFmtId="0" fontId="13" fillId="0" borderId="66" xfId="0" applyFont="1" applyFill="1" applyBorder="1" applyAlignment="1">
      <alignment horizontal="center" vertical="center" wrapText="1"/>
    </xf>
    <xf numFmtId="3" fontId="4" fillId="0" borderId="66" xfId="0" applyNumberFormat="1" applyFont="1" applyFill="1" applyBorder="1" applyAlignment="1">
      <alignment vertical="center"/>
    </xf>
    <xf numFmtId="3" fontId="3" fillId="0" borderId="66" xfId="0" applyNumberFormat="1" applyFont="1" applyFill="1" applyBorder="1" applyAlignment="1">
      <alignment horizontal="right" vertical="center"/>
    </xf>
    <xf numFmtId="10" fontId="4" fillId="0" borderId="66" xfId="0" applyNumberFormat="1" applyFont="1" applyFill="1" applyBorder="1" applyAlignment="1">
      <alignment vertical="center"/>
    </xf>
    <xf numFmtId="10" fontId="3" fillId="24" borderId="66" xfId="0" applyNumberFormat="1" applyFont="1" applyFill="1" applyBorder="1" applyAlignment="1">
      <alignment horizontal="center" vertical="center"/>
    </xf>
    <xf numFmtId="4" fontId="3" fillId="24" borderId="66" xfId="0" applyNumberFormat="1" applyFont="1" applyFill="1" applyBorder="1" applyAlignment="1">
      <alignment horizontal="center" vertical="center"/>
    </xf>
    <xf numFmtId="10" fontId="3" fillId="0" borderId="66" xfId="0" applyNumberFormat="1" applyFont="1" applyFill="1" applyBorder="1" applyAlignment="1">
      <alignment horizontal="right" vertical="center"/>
    </xf>
    <xf numFmtId="10" fontId="3" fillId="0" borderId="66" xfId="0" applyNumberFormat="1" applyFont="1" applyFill="1" applyBorder="1" applyAlignment="1">
      <alignment horizontal="center" vertical="center"/>
    </xf>
    <xf numFmtId="4" fontId="3" fillId="0" borderId="66" xfId="0" applyNumberFormat="1" applyFont="1" applyFill="1" applyBorder="1" applyAlignment="1">
      <alignment horizontal="center" vertical="center"/>
    </xf>
    <xf numFmtId="10" fontId="3" fillId="24" borderId="66" xfId="0" applyNumberFormat="1" applyFont="1" applyFill="1" applyBorder="1" applyAlignment="1">
      <alignment horizontal="right" vertical="center"/>
    </xf>
    <xf numFmtId="4" fontId="4" fillId="0" borderId="67" xfId="0" applyNumberFormat="1" applyFont="1" applyFill="1" applyBorder="1" applyAlignment="1">
      <alignment vertical="center"/>
    </xf>
    <xf numFmtId="3" fontId="13" fillId="26" borderId="30" xfId="0" applyNumberFormat="1" applyFont="1" applyFill="1" applyBorder="1" applyAlignment="1">
      <alignment vertical="center"/>
    </xf>
    <xf numFmtId="10" fontId="13" fillId="26" borderId="31" xfId="0" applyNumberFormat="1" applyFont="1" applyFill="1" applyBorder="1" applyAlignment="1">
      <alignment horizontal="center" vertical="center"/>
    </xf>
    <xf numFmtId="4" fontId="16" fillId="26" borderId="29" xfId="0" applyNumberFormat="1" applyFont="1" applyFill="1" applyBorder="1" applyAlignment="1">
      <alignment vertical="center"/>
    </xf>
    <xf numFmtId="10" fontId="13" fillId="26" borderId="34" xfId="0" applyNumberFormat="1" applyFont="1" applyFill="1" applyBorder="1" applyAlignment="1">
      <alignment horizontal="center" vertical="center"/>
    </xf>
    <xf numFmtId="4" fontId="16" fillId="26" borderId="33" xfId="0" applyNumberFormat="1" applyFont="1" applyFill="1" applyBorder="1" applyAlignment="1">
      <alignment vertical="center"/>
    </xf>
    <xf numFmtId="10" fontId="13" fillId="26" borderId="68" xfId="0" applyNumberFormat="1" applyFont="1" applyFill="1" applyBorder="1" applyAlignment="1">
      <alignment horizontal="center" vertical="center"/>
    </xf>
    <xf numFmtId="4" fontId="16" fillId="26" borderId="69" xfId="0" applyNumberFormat="1" applyFont="1" applyFill="1" applyBorder="1" applyAlignment="1">
      <alignment vertical="center"/>
    </xf>
    <xf numFmtId="0" fontId="17" fillId="0" borderId="0" xfId="0" applyFont="1" applyAlignment="1">
      <alignment vertical="center"/>
    </xf>
    <xf numFmtId="164" fontId="1" fillId="26" borderId="10" xfId="0" applyNumberFormat="1" applyFont="1" applyFill="1" applyBorder="1" applyAlignment="1">
      <alignment vertical="center"/>
    </xf>
    <xf numFmtId="164" fontId="1" fillId="25" borderId="11" xfId="0" applyNumberFormat="1" applyFont="1" applyFill="1" applyBorder="1" applyAlignment="1">
      <alignment vertical="center"/>
    </xf>
    <xf numFmtId="10" fontId="3" fillId="22" borderId="37" xfId="0" applyNumberFormat="1" applyFont="1" applyFill="1" applyBorder="1" applyAlignment="1">
      <alignment horizontal="center" vertical="center"/>
    </xf>
    <xf numFmtId="4" fontId="3" fillId="22" borderId="63" xfId="0" applyNumberFormat="1" applyFont="1" applyFill="1" applyBorder="1" applyAlignment="1">
      <alignment vertical="center"/>
    </xf>
    <xf numFmtId="10" fontId="3" fillId="22" borderId="17" xfId="0" applyNumberFormat="1" applyFont="1" applyFill="1" applyBorder="1" applyAlignment="1">
      <alignment vertical="center"/>
    </xf>
    <xf numFmtId="4" fontId="3" fillId="22" borderId="70" xfId="0" applyNumberFormat="1" applyFont="1" applyFill="1" applyBorder="1" applyAlignment="1">
      <alignment vertical="center"/>
    </xf>
    <xf numFmtId="4" fontId="4" fillId="22" borderId="16" xfId="0" applyNumberFormat="1" applyFont="1" applyFill="1" applyBorder="1" applyAlignment="1">
      <alignment vertical="center"/>
    </xf>
    <xf numFmtId="164" fontId="1" fillId="26" borderId="45" xfId="0" applyNumberFormat="1" applyFont="1" applyFill="1" applyBorder="1" applyAlignment="1">
      <alignment vertical="center"/>
    </xf>
    <xf numFmtId="164" fontId="4" fillId="0" borderId="48" xfId="0" applyNumberFormat="1" applyFont="1" applyBorder="1" applyAlignment="1">
      <alignment vertical="center" wrapText="1"/>
    </xf>
    <xf numFmtId="164" fontId="3" fillId="24" borderId="43" xfId="0" applyNumberFormat="1" applyFont="1" applyFill="1" applyBorder="1" applyAlignment="1">
      <alignment horizontal="right" vertical="center"/>
    </xf>
    <xf numFmtId="4" fontId="3" fillId="24" borderId="71" xfId="0" applyNumberFormat="1" applyFont="1" applyFill="1" applyBorder="1" applyAlignment="1">
      <alignment horizontal="right" vertical="center"/>
    </xf>
    <xf numFmtId="10" fontId="3" fillId="24" borderId="42" xfId="0" applyNumberFormat="1" applyFont="1" applyFill="1" applyBorder="1" applyAlignment="1">
      <alignment horizontal="right" vertical="center"/>
    </xf>
    <xf numFmtId="4" fontId="3" fillId="0" borderId="20" xfId="0" applyNumberFormat="1" applyFont="1" applyBorder="1" applyAlignment="1">
      <alignment vertical="center"/>
    </xf>
    <xf numFmtId="164" fontId="1" fillId="26" borderId="51" xfId="0" applyNumberFormat="1" applyFont="1" applyFill="1" applyBorder="1" applyAlignment="1">
      <alignment vertical="center"/>
    </xf>
    <xf numFmtId="164" fontId="4" fillId="0" borderId="54" xfId="0" applyNumberFormat="1" applyFont="1" applyBorder="1" applyAlignment="1">
      <alignment vertical="center" wrapText="1"/>
    </xf>
    <xf numFmtId="164" fontId="4" fillId="24" borderId="43" xfId="0" applyNumberFormat="1" applyFont="1" applyFill="1" applyBorder="1" applyAlignment="1">
      <alignment horizontal="right" vertical="center"/>
    </xf>
    <xf numFmtId="4" fontId="4" fillId="24" borderId="71" xfId="0" applyNumberFormat="1" applyFont="1" applyFill="1" applyBorder="1" applyAlignment="1">
      <alignment horizontal="right" vertical="center"/>
    </xf>
    <xf numFmtId="10" fontId="4" fillId="24" borderId="42" xfId="0" applyNumberFormat="1" applyFont="1" applyFill="1" applyBorder="1" applyAlignment="1">
      <alignment horizontal="right" vertical="center"/>
    </xf>
    <xf numFmtId="4" fontId="4" fillId="0" borderId="20" xfId="0" applyNumberFormat="1" applyFont="1" applyBorder="1" applyAlignment="1">
      <alignment vertical="center"/>
    </xf>
    <xf numFmtId="164" fontId="18" fillId="26" borderId="51" xfId="0" applyNumberFormat="1" applyFont="1" applyFill="1" applyBorder="1" applyAlignment="1">
      <alignment vertical="center"/>
    </xf>
    <xf numFmtId="164" fontId="18" fillId="24" borderId="52" xfId="0" applyNumberFormat="1" applyFont="1" applyFill="1" applyBorder="1" applyAlignment="1">
      <alignment vertical="center"/>
    </xf>
    <xf numFmtId="164" fontId="18" fillId="7" borderId="53" xfId="0" applyNumberFormat="1" applyFont="1" applyFill="1" applyBorder="1" applyAlignment="1">
      <alignment vertical="center"/>
    </xf>
    <xf numFmtId="164" fontId="18" fillId="0" borderId="54" xfId="0" applyNumberFormat="1" applyFont="1" applyBorder="1" applyAlignment="1">
      <alignment horizontal="right" vertical="center" wrapText="1"/>
    </xf>
    <xf numFmtId="0" fontId="18" fillId="0" borderId="0" xfId="0" applyFont="1" applyAlignment="1">
      <alignment vertical="center"/>
    </xf>
    <xf numFmtId="164" fontId="12" fillId="26" borderId="51" xfId="0" applyNumberFormat="1" applyFont="1" applyFill="1" applyBorder="1" applyAlignment="1">
      <alignment vertical="center"/>
    </xf>
    <xf numFmtId="164" fontId="4" fillId="0" borderId="54" xfId="53" applyNumberFormat="1" applyFont="1" applyFill="1" applyBorder="1" applyAlignment="1">
      <alignment horizontal="left" vertical="center" wrapText="1"/>
      <protection/>
    </xf>
    <xf numFmtId="10" fontId="7" fillId="24" borderId="51" xfId="0" applyNumberFormat="1" applyFont="1" applyFill="1" applyBorder="1" applyAlignment="1">
      <alignment vertical="center"/>
    </xf>
    <xf numFmtId="164" fontId="7" fillId="24" borderId="52" xfId="0" applyNumberFormat="1" applyFont="1" applyFill="1" applyBorder="1" applyAlignment="1">
      <alignment vertical="center"/>
    </xf>
    <xf numFmtId="4" fontId="12" fillId="0" borderId="53" xfId="0" applyNumberFormat="1" applyFont="1" applyBorder="1" applyAlignment="1">
      <alignment vertical="center"/>
    </xf>
    <xf numFmtId="0" fontId="12" fillId="0" borderId="0" xfId="0" applyFont="1" applyAlignment="1">
      <alignment vertical="center"/>
    </xf>
    <xf numFmtId="164" fontId="12" fillId="0" borderId="54" xfId="0" applyNumberFormat="1" applyFont="1" applyBorder="1" applyAlignment="1">
      <alignment vertical="center" wrapText="1"/>
    </xf>
    <xf numFmtId="164" fontId="4" fillId="0" borderId="40" xfId="0" applyNumberFormat="1" applyFont="1" applyBorder="1" applyAlignment="1">
      <alignment vertical="center" wrapText="1"/>
    </xf>
    <xf numFmtId="164" fontId="1" fillId="25" borderId="52" xfId="0" applyNumberFormat="1" applyFont="1" applyFill="1" applyBorder="1" applyAlignment="1">
      <alignment vertical="center"/>
    </xf>
    <xf numFmtId="4" fontId="3" fillId="22" borderId="22" xfId="0" applyNumberFormat="1" applyFont="1" applyFill="1" applyBorder="1" applyAlignment="1">
      <alignment vertical="center"/>
    </xf>
    <xf numFmtId="10" fontId="3" fillId="22" borderId="10" xfId="0" applyNumberFormat="1" applyFont="1" applyFill="1" applyBorder="1" applyAlignment="1">
      <alignment vertical="center"/>
    </xf>
    <xf numFmtId="4" fontId="3" fillId="22" borderId="24" xfId="0" applyNumberFormat="1" applyFont="1" applyFill="1" applyBorder="1" applyAlignment="1">
      <alignment vertical="center"/>
    </xf>
    <xf numFmtId="4" fontId="4" fillId="24" borderId="20" xfId="0" applyNumberFormat="1" applyFont="1" applyFill="1" applyBorder="1" applyAlignment="1">
      <alignment horizontal="right" vertical="center"/>
    </xf>
    <xf numFmtId="10" fontId="4" fillId="24" borderId="19" xfId="0" applyNumberFormat="1" applyFont="1" applyFill="1" applyBorder="1" applyAlignment="1">
      <alignment horizontal="right" vertical="center"/>
    </xf>
    <xf numFmtId="164" fontId="4" fillId="26" borderId="51" xfId="0" applyNumberFormat="1" applyFont="1" applyFill="1" applyBorder="1" applyAlignment="1">
      <alignment vertical="center" textRotation="128"/>
    </xf>
    <xf numFmtId="164" fontId="4" fillId="7" borderId="56" xfId="0" applyNumberFormat="1" applyFont="1" applyFill="1" applyBorder="1" applyAlignment="1">
      <alignment vertical="center"/>
    </xf>
    <xf numFmtId="4" fontId="1" fillId="0" borderId="53" xfId="0" applyNumberFormat="1" applyFont="1" applyBorder="1" applyAlignment="1">
      <alignment vertical="center"/>
    </xf>
    <xf numFmtId="3" fontId="4" fillId="0" borderId="52" xfId="0" applyNumberFormat="1" applyFont="1" applyFill="1" applyBorder="1" applyAlignment="1">
      <alignment horizontal="right" vertical="center"/>
    </xf>
    <xf numFmtId="4" fontId="4" fillId="0" borderId="53" xfId="0" applyNumberFormat="1" applyFont="1" applyFill="1" applyBorder="1" applyAlignment="1">
      <alignment horizontal="right" vertical="center"/>
    </xf>
    <xf numFmtId="10" fontId="4" fillId="0" borderId="54" xfId="0" applyNumberFormat="1" applyFont="1" applyFill="1" applyBorder="1" applyAlignment="1">
      <alignment horizontal="right" vertical="center"/>
    </xf>
    <xf numFmtId="4" fontId="4" fillId="0" borderId="53" xfId="0" applyNumberFormat="1" applyFont="1" applyBorder="1" applyAlignment="1">
      <alignment vertical="center"/>
    </xf>
    <xf numFmtId="0" fontId="1" fillId="0" borderId="0" xfId="0" applyFont="1" applyAlignment="1">
      <alignment vertical="center"/>
    </xf>
    <xf numFmtId="164" fontId="19" fillId="24" borderId="43" xfId="0" applyNumberFormat="1" applyFont="1" applyFill="1" applyBorder="1" applyAlignment="1">
      <alignment horizontal="right" vertical="center"/>
    </xf>
    <xf numFmtId="4" fontId="19" fillId="24" borderId="71" xfId="0" applyNumberFormat="1" applyFont="1" applyFill="1" applyBorder="1" applyAlignment="1">
      <alignment horizontal="right" vertical="center"/>
    </xf>
    <xf numFmtId="10" fontId="19" fillId="24" borderId="42" xfId="0" applyNumberFormat="1" applyFont="1" applyFill="1" applyBorder="1" applyAlignment="1">
      <alignment horizontal="right" vertical="center"/>
    </xf>
    <xf numFmtId="4" fontId="19" fillId="0" borderId="20" xfId="0" applyNumberFormat="1" applyFont="1" applyBorder="1" applyAlignment="1">
      <alignment vertical="center"/>
    </xf>
    <xf numFmtId="164" fontId="1" fillId="22" borderId="52" xfId="0" applyNumberFormat="1" applyFont="1" applyFill="1" applyBorder="1" applyAlignment="1">
      <alignment vertical="center"/>
    </xf>
    <xf numFmtId="3" fontId="3" fillId="22" borderId="14" xfId="0" applyNumberFormat="1" applyFont="1" applyFill="1" applyBorder="1" applyAlignment="1">
      <alignment vertical="center" wrapText="1"/>
    </xf>
    <xf numFmtId="4" fontId="3" fillId="22" borderId="29" xfId="0" applyNumberFormat="1" applyFont="1" applyFill="1" applyBorder="1" applyAlignment="1">
      <alignment vertical="center" wrapText="1"/>
    </xf>
    <xf numFmtId="10" fontId="3" fillId="22" borderId="34" xfId="0" applyNumberFormat="1" applyFont="1" applyFill="1" applyBorder="1" applyAlignment="1">
      <alignment vertical="center" wrapText="1"/>
    </xf>
    <xf numFmtId="4" fontId="3" fillId="22" borderId="33" xfId="0" applyNumberFormat="1" applyFont="1" applyFill="1" applyBorder="1" applyAlignment="1">
      <alignment vertical="center" wrapText="1"/>
    </xf>
    <xf numFmtId="4" fontId="4" fillId="22" borderId="35" xfId="0" applyNumberFormat="1" applyFont="1" applyFill="1" applyBorder="1" applyAlignment="1">
      <alignment vertical="center"/>
    </xf>
    <xf numFmtId="10" fontId="3" fillId="22" borderId="66" xfId="0" applyNumberFormat="1" applyFont="1" applyFill="1" applyBorder="1" applyAlignment="1">
      <alignment vertical="center"/>
    </xf>
    <xf numFmtId="164" fontId="3" fillId="22" borderId="68" xfId="0" applyNumberFormat="1" applyFont="1" applyFill="1" applyBorder="1" applyAlignment="1">
      <alignment horizontal="right" vertical="center"/>
    </xf>
    <xf numFmtId="4" fontId="3" fillId="22" borderId="65" xfId="0" applyNumberFormat="1" applyFont="1" applyFill="1" applyBorder="1" applyAlignment="1">
      <alignment horizontal="right" vertical="center"/>
    </xf>
    <xf numFmtId="4" fontId="3" fillId="22" borderId="72" xfId="0" applyNumberFormat="1" applyFont="1" applyFill="1" applyBorder="1" applyAlignment="1">
      <alignment horizontal="right" vertical="center"/>
    </xf>
    <xf numFmtId="10" fontId="3" fillId="22" borderId="68" xfId="0" applyNumberFormat="1" applyFont="1" applyFill="1" applyBorder="1" applyAlignment="1">
      <alignment horizontal="right" vertical="center"/>
    </xf>
    <xf numFmtId="4" fontId="4" fillId="22" borderId="69" xfId="0" applyNumberFormat="1" applyFont="1" applyFill="1" applyBorder="1" applyAlignment="1">
      <alignment vertical="center"/>
    </xf>
    <xf numFmtId="164" fontId="1" fillId="26" borderId="57" xfId="0" applyNumberFormat="1" applyFont="1" applyFill="1" applyBorder="1" applyAlignment="1">
      <alignment vertical="center"/>
    </xf>
    <xf numFmtId="0" fontId="1" fillId="0" borderId="0" xfId="0" applyFont="1" applyFill="1" applyAlignment="1">
      <alignment vertical="center"/>
    </xf>
    <xf numFmtId="164" fontId="3" fillId="26" borderId="10" xfId="0" applyNumberFormat="1" applyFont="1" applyFill="1" applyBorder="1" applyAlignment="1">
      <alignment vertical="center"/>
    </xf>
    <xf numFmtId="164" fontId="3" fillId="26" borderId="11" xfId="0" applyNumberFormat="1" applyFont="1" applyFill="1" applyBorder="1" applyAlignment="1">
      <alignment vertical="center"/>
    </xf>
    <xf numFmtId="164" fontId="4" fillId="26" borderId="12" xfId="0" applyNumberFormat="1" applyFont="1" applyFill="1" applyBorder="1" applyAlignment="1">
      <alignment vertical="center"/>
    </xf>
    <xf numFmtId="164" fontId="3" fillId="26" borderId="13" xfId="53" applyNumberFormat="1" applyFont="1" applyFill="1" applyBorder="1" applyAlignment="1">
      <alignment vertical="center" wrapText="1"/>
      <protection/>
    </xf>
    <xf numFmtId="10" fontId="3" fillId="26" borderId="23" xfId="0" applyNumberFormat="1" applyFont="1" applyFill="1" applyBorder="1" applyAlignment="1">
      <alignment vertical="center"/>
    </xf>
    <xf numFmtId="164" fontId="3" fillId="26" borderId="12" xfId="0" applyNumberFormat="1" applyFont="1" applyFill="1" applyBorder="1" applyAlignment="1">
      <alignment horizontal="right" vertical="center"/>
    </xf>
    <xf numFmtId="4" fontId="3" fillId="26" borderId="24" xfId="0" applyNumberFormat="1" applyFont="1" applyFill="1" applyBorder="1" applyAlignment="1">
      <alignment horizontal="right" vertical="center"/>
    </xf>
    <xf numFmtId="164" fontId="3" fillId="26" borderId="10" xfId="0" applyNumberFormat="1" applyFont="1" applyFill="1" applyBorder="1" applyAlignment="1">
      <alignment horizontal="right" vertical="center"/>
    </xf>
    <xf numFmtId="1" fontId="3" fillId="26" borderId="11" xfId="0" applyNumberFormat="1" applyFont="1" applyFill="1" applyBorder="1" applyAlignment="1">
      <alignment horizontal="right" vertical="center"/>
    </xf>
    <xf numFmtId="0" fontId="4" fillId="26" borderId="10" xfId="0" applyFont="1" applyFill="1" applyBorder="1" applyAlignment="1">
      <alignment vertical="center"/>
    </xf>
    <xf numFmtId="0" fontId="4" fillId="26" borderId="11" xfId="0" applyFont="1" applyFill="1" applyBorder="1" applyAlignment="1">
      <alignment vertical="center"/>
    </xf>
    <xf numFmtId="4" fontId="4" fillId="26" borderId="12" xfId="0" applyNumberFormat="1" applyFont="1" applyFill="1" applyBorder="1" applyAlignment="1">
      <alignment vertical="center"/>
    </xf>
    <xf numFmtId="164" fontId="3" fillId="22" borderId="11" xfId="0" applyNumberFormat="1" applyFont="1" applyFill="1" applyBorder="1" applyAlignment="1">
      <alignment vertical="center"/>
    </xf>
    <xf numFmtId="164" fontId="3" fillId="22" borderId="12" xfId="0" applyNumberFormat="1" applyFont="1" applyFill="1" applyBorder="1" applyAlignment="1">
      <alignment vertical="center"/>
    </xf>
    <xf numFmtId="10" fontId="7" fillId="22" borderId="10" xfId="0" applyNumberFormat="1" applyFont="1" applyFill="1" applyBorder="1" applyAlignment="1">
      <alignment vertical="center"/>
    </xf>
    <xf numFmtId="164" fontId="7" fillId="22" borderId="11" xfId="0" applyNumberFormat="1" applyFont="1" applyFill="1" applyBorder="1" applyAlignment="1">
      <alignment horizontal="right" vertical="center"/>
    </xf>
    <xf numFmtId="4" fontId="3" fillId="22" borderId="12" xfId="0" applyNumberFormat="1" applyFont="1" applyFill="1" applyBorder="1" applyAlignment="1">
      <alignment horizontal="right" vertical="center"/>
    </xf>
    <xf numFmtId="164" fontId="3" fillId="22" borderId="23" xfId="0" applyNumberFormat="1" applyFont="1" applyFill="1" applyBorder="1" applyAlignment="1">
      <alignment horizontal="right" vertical="center"/>
    </xf>
    <xf numFmtId="1" fontId="3" fillId="22" borderId="11" xfId="0" applyNumberFormat="1" applyFont="1" applyFill="1" applyBorder="1" applyAlignment="1">
      <alignment horizontal="right" vertical="center"/>
    </xf>
    <xf numFmtId="4" fontId="4" fillId="22" borderId="24" xfId="0" applyNumberFormat="1" applyFont="1" applyFill="1" applyBorder="1" applyAlignment="1">
      <alignment horizontal="right" vertical="center"/>
    </xf>
    <xf numFmtId="0" fontId="4" fillId="22" borderId="10" xfId="0" applyFont="1" applyFill="1" applyBorder="1" applyAlignment="1">
      <alignment vertical="center"/>
    </xf>
    <xf numFmtId="0" fontId="4" fillId="22" borderId="11" xfId="0" applyFont="1" applyFill="1" applyBorder="1" applyAlignment="1">
      <alignment vertical="center"/>
    </xf>
    <xf numFmtId="4" fontId="3" fillId="22" borderId="12" xfId="0" applyNumberFormat="1" applyFont="1" applyFill="1" applyBorder="1" applyAlignment="1">
      <alignment vertical="center"/>
    </xf>
    <xf numFmtId="164" fontId="2" fillId="4" borderId="14" xfId="0" applyNumberFormat="1" applyFont="1" applyFill="1" applyBorder="1" applyAlignment="1">
      <alignment vertical="center"/>
    </xf>
    <xf numFmtId="164" fontId="2" fillId="4" borderId="22" xfId="0" applyNumberFormat="1" applyFont="1" applyFill="1" applyBorder="1" applyAlignment="1">
      <alignment vertical="center"/>
    </xf>
    <xf numFmtId="164" fontId="1" fillId="4" borderId="14" xfId="0" applyNumberFormat="1" applyFont="1" applyFill="1" applyBorder="1" applyAlignment="1">
      <alignment vertical="center"/>
    </xf>
    <xf numFmtId="3" fontId="3" fillId="4" borderId="14" xfId="0" applyNumberFormat="1" applyFont="1" applyFill="1" applyBorder="1" applyAlignment="1">
      <alignment vertical="center"/>
    </xf>
    <xf numFmtId="10" fontId="3" fillId="4" borderId="23" xfId="0" applyNumberFormat="1" applyFont="1" applyFill="1" applyBorder="1" applyAlignment="1">
      <alignment horizontal="center" vertical="center"/>
    </xf>
    <xf numFmtId="4" fontId="7" fillId="4" borderId="13" xfId="0" applyNumberFormat="1" applyFont="1" applyFill="1" applyBorder="1" applyAlignment="1">
      <alignment vertical="center"/>
    </xf>
    <xf numFmtId="3" fontId="3" fillId="4" borderId="10" xfId="0" applyNumberFormat="1" applyFont="1" applyFill="1" applyBorder="1" applyAlignment="1">
      <alignment vertical="center"/>
    </xf>
    <xf numFmtId="4" fontId="7" fillId="4" borderId="24" xfId="0" applyNumberFormat="1" applyFont="1" applyFill="1" applyBorder="1" applyAlignment="1">
      <alignment vertical="center"/>
    </xf>
    <xf numFmtId="0" fontId="4" fillId="4" borderId="10" xfId="0" applyFont="1" applyFill="1" applyBorder="1" applyAlignment="1">
      <alignment vertical="center"/>
    </xf>
    <xf numFmtId="4" fontId="7" fillId="4" borderId="14" xfId="0" applyNumberFormat="1" applyFont="1" applyFill="1" applyBorder="1" applyAlignment="1">
      <alignment vertical="center"/>
    </xf>
    <xf numFmtId="0" fontId="4" fillId="0" borderId="0" xfId="0" applyFont="1" applyBorder="1" applyAlignment="1">
      <alignment vertical="center"/>
    </xf>
    <xf numFmtId="164" fontId="1" fillId="4" borderId="45" xfId="0" applyNumberFormat="1" applyFont="1" applyFill="1" applyBorder="1" applyAlignment="1">
      <alignment vertical="center"/>
    </xf>
    <xf numFmtId="164" fontId="18" fillId="4" borderId="46" xfId="0" applyNumberFormat="1" applyFont="1" applyFill="1" applyBorder="1" applyAlignment="1">
      <alignment vertical="center"/>
    </xf>
    <xf numFmtId="164" fontId="18" fillId="4" borderId="47" xfId="0" applyNumberFormat="1" applyFont="1" applyFill="1" applyBorder="1" applyAlignment="1">
      <alignment vertical="center"/>
    </xf>
    <xf numFmtId="164" fontId="3" fillId="24" borderId="65" xfId="0" applyNumberFormat="1" applyFont="1" applyFill="1" applyBorder="1" applyAlignment="1">
      <alignment vertical="center" wrapText="1"/>
    </xf>
    <xf numFmtId="10" fontId="4" fillId="24" borderId="68" xfId="0" applyNumberFormat="1" applyFont="1" applyFill="1" applyBorder="1" applyAlignment="1">
      <alignment vertical="center" wrapText="1"/>
    </xf>
    <xf numFmtId="164" fontId="3" fillId="24" borderId="73" xfId="0" applyNumberFormat="1" applyFont="1" applyFill="1" applyBorder="1" applyAlignment="1">
      <alignment horizontal="right" vertical="center" wrapText="1"/>
    </xf>
    <xf numFmtId="4" fontId="4" fillId="24" borderId="69" xfId="0" applyNumberFormat="1" applyFont="1" applyFill="1" applyBorder="1" applyAlignment="1">
      <alignment horizontal="center" vertical="center" wrapText="1"/>
    </xf>
    <xf numFmtId="164" fontId="4" fillId="24" borderId="73" xfId="0" applyNumberFormat="1" applyFont="1" applyFill="1" applyBorder="1" applyAlignment="1">
      <alignment horizontal="right" vertical="center" wrapText="1"/>
    </xf>
    <xf numFmtId="10" fontId="4" fillId="24" borderId="68" xfId="0" applyNumberFormat="1" applyFont="1" applyFill="1" applyBorder="1" applyAlignment="1">
      <alignment horizontal="right" vertical="center" wrapText="1"/>
    </xf>
    <xf numFmtId="4" fontId="4" fillId="0" borderId="69" xfId="0" applyNumberFormat="1" applyFont="1" applyBorder="1" applyAlignment="1">
      <alignment vertical="center"/>
    </xf>
    <xf numFmtId="164" fontId="1" fillId="4" borderId="38" xfId="0" applyNumberFormat="1" applyFont="1" applyFill="1" applyBorder="1" applyAlignment="1">
      <alignment vertical="center"/>
    </xf>
    <xf numFmtId="164" fontId="1" fillId="4" borderId="39" xfId="0" applyNumberFormat="1" applyFont="1" applyFill="1" applyBorder="1" applyAlignment="1">
      <alignment vertical="center"/>
    </xf>
    <xf numFmtId="164" fontId="1" fillId="4" borderId="27" xfId="0" applyNumberFormat="1" applyFont="1" applyFill="1" applyBorder="1" applyAlignment="1">
      <alignment vertical="center"/>
    </xf>
    <xf numFmtId="164" fontId="3" fillId="0" borderId="63" xfId="0" applyNumberFormat="1" applyFont="1" applyBorder="1" applyAlignment="1">
      <alignment vertical="center" wrapText="1"/>
    </xf>
    <xf numFmtId="164" fontId="1" fillId="4" borderId="10" xfId="0" applyNumberFormat="1" applyFont="1" applyFill="1" applyBorder="1" applyAlignment="1">
      <alignment vertical="center"/>
    </xf>
    <xf numFmtId="164" fontId="1" fillId="4" borderId="11" xfId="0" applyNumberFormat="1" applyFont="1" applyFill="1" applyBorder="1" applyAlignment="1">
      <alignment vertical="center"/>
    </xf>
    <xf numFmtId="164" fontId="1" fillId="4" borderId="12" xfId="0" applyNumberFormat="1" applyFont="1" applyFill="1" applyBorder="1" applyAlignment="1">
      <alignment vertical="center"/>
    </xf>
    <xf numFmtId="166" fontId="2" fillId="24" borderId="22" xfId="0" applyNumberFormat="1" applyFont="1" applyFill="1" applyBorder="1" applyAlignment="1">
      <alignment horizontal="left" vertical="center" wrapText="1"/>
    </xf>
    <xf numFmtId="3" fontId="3" fillId="0" borderId="11" xfId="0" applyNumberFormat="1" applyFont="1" applyFill="1" applyBorder="1" applyAlignment="1">
      <alignment vertical="center"/>
    </xf>
    <xf numFmtId="4" fontId="3" fillId="0" borderId="12" xfId="0" applyNumberFormat="1" applyFont="1" applyFill="1" applyBorder="1" applyAlignment="1">
      <alignment vertical="center"/>
    </xf>
    <xf numFmtId="10" fontId="3" fillId="0" borderId="10" xfId="0" applyNumberFormat="1" applyFont="1" applyFill="1" applyBorder="1" applyAlignment="1">
      <alignment vertical="center"/>
    </xf>
    <xf numFmtId="4" fontId="3" fillId="0" borderId="12" xfId="0" applyNumberFormat="1" applyFont="1" applyBorder="1" applyAlignment="1">
      <alignment vertical="center"/>
    </xf>
    <xf numFmtId="166" fontId="18" fillId="24" borderId="74" xfId="0" applyNumberFormat="1" applyFont="1" applyFill="1" applyBorder="1" applyAlignment="1">
      <alignment horizontal="right" vertical="center" wrapText="1"/>
    </xf>
    <xf numFmtId="4" fontId="20" fillId="24" borderId="47" xfId="0" applyNumberFormat="1" applyFont="1" applyFill="1" applyBorder="1" applyAlignment="1">
      <alignment horizontal="right" vertical="center"/>
    </xf>
    <xf numFmtId="164" fontId="1" fillId="4" borderId="51" xfId="0" applyNumberFormat="1" applyFont="1" applyFill="1" applyBorder="1" applyAlignment="1">
      <alignment vertical="center"/>
    </xf>
    <xf numFmtId="164" fontId="18" fillId="4" borderId="52" xfId="0" applyNumberFormat="1" applyFont="1" applyFill="1" applyBorder="1" applyAlignment="1">
      <alignment vertical="center"/>
    </xf>
    <xf numFmtId="164" fontId="18" fillId="4" borderId="53" xfId="0" applyNumberFormat="1" applyFont="1" applyFill="1" applyBorder="1" applyAlignment="1">
      <alignment vertical="center"/>
    </xf>
    <xf numFmtId="166" fontId="18" fillId="24" borderId="75" xfId="0" applyNumberFormat="1" applyFont="1" applyFill="1" applyBorder="1" applyAlignment="1">
      <alignment horizontal="right" vertical="center" wrapText="1"/>
    </xf>
    <xf numFmtId="4" fontId="4" fillId="24" borderId="53" xfId="0" applyNumberFormat="1" applyFont="1" applyFill="1" applyBorder="1" applyAlignment="1">
      <alignment horizontal="right" vertical="center"/>
    </xf>
    <xf numFmtId="166" fontId="18" fillId="24" borderId="76" xfId="0" applyNumberFormat="1" applyFont="1" applyFill="1" applyBorder="1" applyAlignment="1">
      <alignment horizontal="right" vertical="center" wrapText="1"/>
    </xf>
    <xf numFmtId="166" fontId="3" fillId="24" borderId="22" xfId="0" applyNumberFormat="1" applyFont="1" applyFill="1" applyBorder="1" applyAlignment="1">
      <alignment horizontal="left" vertical="center" wrapText="1"/>
    </xf>
    <xf numFmtId="164" fontId="1" fillId="4" borderId="52" xfId="0" applyNumberFormat="1" applyFont="1" applyFill="1" applyBorder="1" applyAlignment="1">
      <alignment vertical="center"/>
    </xf>
    <xf numFmtId="164" fontId="1" fillId="4" borderId="53" xfId="0" applyNumberFormat="1" applyFont="1" applyFill="1" applyBorder="1" applyAlignment="1">
      <alignment vertical="center"/>
    </xf>
    <xf numFmtId="164" fontId="3" fillId="0" borderId="22" xfId="53" applyNumberFormat="1" applyFont="1" applyBorder="1" applyAlignment="1">
      <alignment vertical="center" wrapText="1"/>
      <protection/>
    </xf>
    <xf numFmtId="3" fontId="3" fillId="0" borderId="11" xfId="0" applyNumberFormat="1" applyFont="1" applyFill="1" applyBorder="1" applyAlignment="1">
      <alignment vertical="center" wrapText="1"/>
    </xf>
    <xf numFmtId="4" fontId="4" fillId="0" borderId="12" xfId="0" applyNumberFormat="1" applyFont="1" applyFill="1" applyBorder="1" applyAlignment="1">
      <alignment vertical="center" wrapText="1"/>
    </xf>
    <xf numFmtId="10" fontId="4" fillId="0" borderId="10" xfId="0" applyNumberFormat="1" applyFont="1" applyFill="1" applyBorder="1" applyAlignment="1">
      <alignment vertical="center" wrapText="1"/>
    </xf>
    <xf numFmtId="3" fontId="4" fillId="0" borderId="10" xfId="0" applyNumberFormat="1" applyFont="1" applyFill="1" applyBorder="1" applyAlignment="1">
      <alignment vertical="center" wrapText="1"/>
    </xf>
    <xf numFmtId="49" fontId="18" fillId="0" borderId="77" xfId="53" applyNumberFormat="1" applyFont="1" applyBorder="1" applyAlignment="1">
      <alignment horizontal="right" vertical="center" wrapText="1"/>
      <protection/>
    </xf>
    <xf numFmtId="10" fontId="4" fillId="24" borderId="10" xfId="0" applyNumberFormat="1" applyFont="1" applyFill="1" applyBorder="1" applyAlignment="1">
      <alignment vertical="center" wrapText="1"/>
    </xf>
    <xf numFmtId="164" fontId="4" fillId="24" borderId="11" xfId="0" applyNumberFormat="1" applyFont="1" applyFill="1" applyBorder="1" applyAlignment="1">
      <alignment horizontal="right" vertical="center" wrapText="1"/>
    </xf>
    <xf numFmtId="4" fontId="4" fillId="24" borderId="12" xfId="0" applyNumberFormat="1" applyFont="1" applyFill="1" applyBorder="1" applyAlignment="1">
      <alignment horizontal="right" vertical="center" wrapText="1"/>
    </xf>
    <xf numFmtId="4" fontId="4" fillId="24" borderId="12" xfId="0" applyNumberFormat="1" applyFont="1" applyFill="1" applyBorder="1" applyAlignment="1">
      <alignment horizontal="right" vertical="center"/>
    </xf>
    <xf numFmtId="164" fontId="1" fillId="0" borderId="0" xfId="0" applyNumberFormat="1" applyFont="1" applyFill="1" applyBorder="1" applyAlignment="1">
      <alignment vertical="center"/>
    </xf>
    <xf numFmtId="164" fontId="3" fillId="0" borderId="0" xfId="0" applyNumberFormat="1" applyFont="1" applyFill="1" applyBorder="1" applyAlignment="1">
      <alignment vertical="center" wrapText="1"/>
    </xf>
    <xf numFmtId="164" fontId="4" fillId="0" borderId="0" xfId="0" applyNumberFormat="1" applyFont="1" applyFill="1" applyBorder="1" applyAlignment="1">
      <alignment horizontal="right" vertical="center"/>
    </xf>
    <xf numFmtId="4" fontId="4" fillId="0" borderId="0" xfId="0" applyNumberFormat="1" applyFont="1" applyFill="1" applyBorder="1" applyAlignment="1">
      <alignment horizontal="right" vertical="center"/>
    </xf>
    <xf numFmtId="10" fontId="4" fillId="0" borderId="0" xfId="0" applyNumberFormat="1" applyFont="1" applyFill="1" applyBorder="1" applyAlignment="1">
      <alignment horizontal="right" vertical="center"/>
    </xf>
    <xf numFmtId="4" fontId="7" fillId="0" borderId="0" xfId="0" applyNumberFormat="1" applyFont="1" applyFill="1" applyBorder="1" applyAlignment="1">
      <alignment horizontal="right" vertical="center"/>
    </xf>
    <xf numFmtId="164" fontId="4" fillId="0" borderId="0" xfId="0" applyNumberFormat="1" applyFont="1" applyAlignment="1">
      <alignment vertical="center" wrapText="1"/>
    </xf>
    <xf numFmtId="4" fontId="8" fillId="0" borderId="35" xfId="0" applyNumberFormat="1" applyFont="1" applyBorder="1" applyAlignment="1">
      <alignment vertical="center"/>
    </xf>
    <xf numFmtId="4" fontId="3" fillId="22" borderId="14" xfId="0" applyNumberFormat="1" applyFont="1" applyFill="1" applyBorder="1" applyAlignment="1">
      <alignment horizontal="right" vertical="center"/>
    </xf>
    <xf numFmtId="164" fontId="7" fillId="22" borderId="10" xfId="0" applyNumberFormat="1" applyFont="1" applyFill="1" applyBorder="1" applyAlignment="1">
      <alignment vertical="center"/>
    </xf>
    <xf numFmtId="164" fontId="7" fillId="25" borderId="11" xfId="0" applyNumberFormat="1" applyFont="1" applyFill="1" applyBorder="1" applyAlignment="1">
      <alignment vertical="center"/>
    </xf>
    <xf numFmtId="164" fontId="7" fillId="0" borderId="12" xfId="0" applyNumberFormat="1" applyFont="1" applyFill="1" applyBorder="1" applyAlignment="1">
      <alignment vertical="center"/>
    </xf>
    <xf numFmtId="164" fontId="7" fillId="0" borderId="13" xfId="0" applyNumberFormat="1" applyFont="1" applyFill="1" applyBorder="1" applyAlignment="1">
      <alignment vertical="center" wrapText="1"/>
    </xf>
    <xf numFmtId="3" fontId="7" fillId="0" borderId="13" xfId="0" applyNumberFormat="1" applyFont="1" applyFill="1" applyBorder="1" applyAlignment="1">
      <alignment horizontal="right" vertical="center"/>
    </xf>
    <xf numFmtId="10" fontId="7" fillId="0" borderId="23" xfId="0" applyNumberFormat="1" applyFont="1" applyFill="1" applyBorder="1" applyAlignment="1">
      <alignment vertical="center"/>
    </xf>
    <xf numFmtId="10" fontId="7" fillId="0" borderId="10" xfId="0" applyNumberFormat="1" applyFont="1" applyFill="1" applyBorder="1" applyAlignment="1">
      <alignment horizontal="right" vertical="center"/>
    </xf>
    <xf numFmtId="4" fontId="7" fillId="0" borderId="14" xfId="0" applyNumberFormat="1" applyFont="1" applyFill="1" applyBorder="1" applyAlignment="1">
      <alignment horizontal="right" vertical="center"/>
    </xf>
    <xf numFmtId="0" fontId="7" fillId="0" borderId="0" xfId="0" applyFont="1" applyFill="1" applyAlignment="1">
      <alignment vertical="center"/>
    </xf>
    <xf numFmtId="3" fontId="7" fillId="0" borderId="14" xfId="0" applyNumberFormat="1" applyFont="1" applyFill="1" applyBorder="1" applyAlignment="1">
      <alignment horizontal="right" vertical="center"/>
    </xf>
    <xf numFmtId="164" fontId="7" fillId="0" borderId="13" xfId="0" applyNumberFormat="1" applyFont="1" applyFill="1" applyBorder="1" applyAlignment="1">
      <alignment horizontal="right" vertical="center"/>
    </xf>
    <xf numFmtId="10" fontId="7" fillId="0" borderId="13" xfId="0" applyNumberFormat="1" applyFont="1" applyFill="1" applyBorder="1" applyAlignment="1">
      <alignment horizontal="right" vertical="center"/>
    </xf>
    <xf numFmtId="0" fontId="7" fillId="0" borderId="0" xfId="0" applyFont="1" applyAlignment="1">
      <alignment vertical="center"/>
    </xf>
    <xf numFmtId="164" fontId="7" fillId="0" borderId="24" xfId="0" applyNumberFormat="1" applyFont="1" applyFill="1" applyBorder="1" applyAlignment="1">
      <alignment horizontal="right" vertical="center"/>
    </xf>
    <xf numFmtId="3" fontId="4" fillId="0" borderId="24" xfId="0" applyNumberFormat="1" applyFont="1" applyFill="1" applyBorder="1" applyAlignment="1">
      <alignment vertical="center"/>
    </xf>
    <xf numFmtId="164" fontId="4" fillId="0" borderId="72" xfId="0" applyNumberFormat="1" applyFont="1" applyFill="1" applyBorder="1" applyAlignment="1">
      <alignment horizontal="right" vertical="center"/>
    </xf>
    <xf numFmtId="164" fontId="4" fillId="0" borderId="24" xfId="0" applyNumberFormat="1" applyFont="1" applyFill="1" applyBorder="1" applyAlignment="1">
      <alignment horizontal="right" vertical="center"/>
    </xf>
    <xf numFmtId="164" fontId="4" fillId="24" borderId="24" xfId="0" applyNumberFormat="1" applyFont="1" applyFill="1" applyBorder="1" applyAlignment="1">
      <alignment horizontal="right" vertical="center"/>
    </xf>
    <xf numFmtId="4" fontId="13" fillId="0" borderId="14" xfId="0" applyNumberFormat="1" applyFont="1" applyFill="1" applyBorder="1" applyAlignment="1">
      <alignment vertical="center"/>
    </xf>
    <xf numFmtId="4" fontId="13" fillId="0" borderId="78" xfId="0" applyNumberFormat="1" applyFont="1" applyFill="1" applyBorder="1" applyAlignment="1">
      <alignment horizontal="right" vertical="center"/>
    </xf>
    <xf numFmtId="4" fontId="13" fillId="0" borderId="14" xfId="0" applyNumberFormat="1" applyFont="1" applyFill="1" applyBorder="1" applyAlignment="1">
      <alignment horizontal="right" vertical="center"/>
    </xf>
    <xf numFmtId="4" fontId="16" fillId="0" borderId="14" xfId="0" applyNumberFormat="1" applyFont="1" applyFill="1" applyBorder="1" applyAlignment="1">
      <alignment horizontal="right" vertical="center"/>
    </xf>
    <xf numFmtId="1" fontId="4" fillId="0" borderId="24" xfId="0" applyNumberFormat="1" applyFont="1" applyFill="1" applyBorder="1" applyAlignment="1">
      <alignment horizontal="right" vertical="center"/>
    </xf>
    <xf numFmtId="4" fontId="13" fillId="24" borderId="14" xfId="0" applyNumberFormat="1" applyFont="1" applyFill="1" applyBorder="1" applyAlignment="1">
      <alignment horizontal="right" vertical="center"/>
    </xf>
    <xf numFmtId="0" fontId="4" fillId="0" borderId="24" xfId="0" applyFont="1" applyFill="1" applyBorder="1" applyAlignment="1">
      <alignment vertical="center"/>
    </xf>
    <xf numFmtId="4" fontId="13" fillId="0" borderId="14" xfId="0" applyNumberFormat="1" applyFont="1" applyBorder="1" applyAlignment="1">
      <alignment vertical="center"/>
    </xf>
    <xf numFmtId="167" fontId="3" fillId="26" borderId="24" xfId="0" applyNumberFormat="1" applyFont="1" applyFill="1" applyBorder="1" applyAlignment="1">
      <alignment horizontal="right" vertical="center"/>
    </xf>
    <xf numFmtId="167" fontId="20" fillId="0" borderId="47" xfId="0" applyNumberFormat="1" applyFont="1" applyBorder="1" applyAlignment="1">
      <alignment vertical="center"/>
    </xf>
    <xf numFmtId="167" fontId="20" fillId="0" borderId="53" xfId="0" applyNumberFormat="1" applyFont="1" applyBorder="1" applyAlignment="1">
      <alignment vertical="center"/>
    </xf>
    <xf numFmtId="3" fontId="16" fillId="22" borderId="22" xfId="0" applyNumberFormat="1" applyFont="1" applyFill="1" applyBorder="1" applyAlignment="1">
      <alignment horizontal="right" vertical="center"/>
    </xf>
    <xf numFmtId="4" fontId="3" fillId="24" borderId="14" xfId="0" applyNumberFormat="1" applyFont="1" applyFill="1" applyBorder="1" applyAlignment="1">
      <alignment horizontal="right" vertical="center"/>
    </xf>
    <xf numFmtId="164" fontId="1" fillId="7" borderId="62" xfId="0" applyNumberFormat="1" applyFont="1" applyFill="1" applyBorder="1" applyAlignment="1">
      <alignment vertical="center"/>
    </xf>
    <xf numFmtId="164" fontId="1" fillId="7" borderId="56" xfId="0" applyNumberFormat="1" applyFont="1" applyFill="1" applyBorder="1" applyAlignment="1">
      <alignment vertical="center"/>
    </xf>
    <xf numFmtId="10" fontId="3" fillId="24" borderId="19" xfId="0" applyNumberFormat="1" applyFont="1" applyFill="1" applyBorder="1" applyAlignment="1">
      <alignment vertical="center"/>
    </xf>
    <xf numFmtId="4" fontId="3" fillId="0" borderId="14" xfId="0" applyNumberFormat="1" applyFont="1" applyFill="1" applyBorder="1" applyAlignment="1">
      <alignment horizontal="right" vertical="center"/>
    </xf>
    <xf numFmtId="164" fontId="7" fillId="0" borderId="17" xfId="0" applyNumberFormat="1" applyFont="1" applyFill="1" applyBorder="1" applyAlignment="1">
      <alignment vertical="center"/>
    </xf>
    <xf numFmtId="164" fontId="7" fillId="0" borderId="79" xfId="0" applyNumberFormat="1" applyFont="1" applyFill="1" applyBorder="1" applyAlignment="1">
      <alignment vertical="center"/>
    </xf>
    <xf numFmtId="164" fontId="7" fillId="0" borderId="16" xfId="0" applyNumberFormat="1" applyFont="1" applyFill="1" applyBorder="1" applyAlignment="1">
      <alignment vertical="center"/>
    </xf>
    <xf numFmtId="164" fontId="7" fillId="0" borderId="14" xfId="0" applyNumberFormat="1" applyFont="1" applyFill="1" applyBorder="1" applyAlignment="1">
      <alignment vertical="center" wrapText="1"/>
    </xf>
    <xf numFmtId="10" fontId="7" fillId="0" borderId="22" xfId="0" applyNumberFormat="1" applyFont="1" applyFill="1" applyBorder="1" applyAlignment="1">
      <alignment vertical="center"/>
    </xf>
    <xf numFmtId="164" fontId="7" fillId="0" borderId="21" xfId="0" applyNumberFormat="1" applyFont="1" applyFill="1" applyBorder="1" applyAlignment="1">
      <alignment horizontal="right" vertical="center"/>
    </xf>
    <xf numFmtId="164" fontId="16" fillId="0" borderId="13" xfId="0" applyNumberFormat="1" applyFont="1" applyFill="1" applyBorder="1" applyAlignment="1">
      <alignment vertical="center" wrapText="1"/>
    </xf>
    <xf numFmtId="3" fontId="7" fillId="0" borderId="22" xfId="0" applyNumberFormat="1" applyFont="1" applyFill="1" applyBorder="1" applyAlignment="1">
      <alignment horizontal="right" vertical="center"/>
    </xf>
    <xf numFmtId="10" fontId="4" fillId="24" borderId="23" xfId="0" applyNumberFormat="1" applyFont="1" applyFill="1" applyBorder="1" applyAlignment="1">
      <alignment horizontal="right" vertical="center"/>
    </xf>
    <xf numFmtId="3" fontId="6" fillId="20" borderId="36" xfId="0" applyNumberFormat="1" applyFont="1" applyFill="1" applyBorder="1" applyAlignment="1">
      <alignment horizontal="center" vertical="center" wrapText="1"/>
    </xf>
    <xf numFmtId="164" fontId="3" fillId="24" borderId="79" xfId="0" applyNumberFormat="1" applyFont="1" applyFill="1" applyBorder="1" applyAlignment="1">
      <alignment horizontal="right" vertical="center"/>
    </xf>
    <xf numFmtId="164" fontId="3" fillId="24" borderId="46" xfId="0" applyNumberFormat="1" applyFont="1" applyFill="1" applyBorder="1" applyAlignment="1">
      <alignment horizontal="right" vertical="center"/>
    </xf>
    <xf numFmtId="10" fontId="3" fillId="22" borderId="13" xfId="0" applyNumberFormat="1" applyFont="1" applyFill="1" applyBorder="1" applyAlignment="1">
      <alignment vertical="center" wrapText="1"/>
    </xf>
    <xf numFmtId="3" fontId="11" fillId="26" borderId="22" xfId="0" applyNumberFormat="1" applyFont="1" applyFill="1" applyBorder="1" applyAlignment="1">
      <alignment horizontal="right" vertical="center"/>
    </xf>
    <xf numFmtId="10" fontId="4" fillId="24" borderId="44" xfId="0" applyNumberFormat="1" applyFont="1" applyFill="1" applyBorder="1" applyAlignment="1">
      <alignment vertical="center" wrapText="1"/>
    </xf>
    <xf numFmtId="10" fontId="4" fillId="24" borderId="49" xfId="0" applyNumberFormat="1" applyFont="1" applyFill="1" applyBorder="1" applyAlignment="1">
      <alignment vertical="center"/>
    </xf>
    <xf numFmtId="10" fontId="4" fillId="0" borderId="23" xfId="0" applyNumberFormat="1" applyFont="1" applyFill="1" applyBorder="1" applyAlignment="1">
      <alignment vertical="center"/>
    </xf>
    <xf numFmtId="10" fontId="4" fillId="24" borderId="23" xfId="0" applyNumberFormat="1" applyFont="1" applyFill="1" applyBorder="1" applyAlignment="1">
      <alignment vertical="center" wrapText="1"/>
    </xf>
    <xf numFmtId="10" fontId="4" fillId="24" borderId="19" xfId="0" applyNumberFormat="1" applyFont="1" applyFill="1" applyBorder="1" applyAlignment="1">
      <alignment vertical="center"/>
    </xf>
    <xf numFmtId="10" fontId="7" fillId="24" borderId="55" xfId="0" applyNumberFormat="1" applyFont="1" applyFill="1" applyBorder="1" applyAlignment="1">
      <alignment vertical="center"/>
    </xf>
    <xf numFmtId="10" fontId="3" fillId="22" borderId="13" xfId="0" applyNumberFormat="1" applyFont="1" applyFill="1" applyBorder="1" applyAlignment="1">
      <alignment vertical="center"/>
    </xf>
    <xf numFmtId="10" fontId="4" fillId="24" borderId="54" xfId="0" applyNumberFormat="1" applyFont="1" applyFill="1" applyBorder="1" applyAlignment="1">
      <alignment vertical="center"/>
    </xf>
    <xf numFmtId="10" fontId="19" fillId="24" borderId="19" xfId="0" applyNumberFormat="1" applyFont="1" applyFill="1" applyBorder="1" applyAlignment="1">
      <alignment vertical="center"/>
    </xf>
    <xf numFmtId="10" fontId="3" fillId="24" borderId="15" xfId="0" applyNumberFormat="1" applyFont="1" applyFill="1" applyBorder="1" applyAlignment="1">
      <alignment vertical="center"/>
    </xf>
    <xf numFmtId="10" fontId="3" fillId="24" borderId="49" xfId="0" applyNumberFormat="1" applyFont="1" applyFill="1" applyBorder="1" applyAlignment="1">
      <alignment vertical="center"/>
    </xf>
    <xf numFmtId="3" fontId="13" fillId="26" borderId="14" xfId="0" applyNumberFormat="1" applyFont="1" applyFill="1" applyBorder="1" applyAlignment="1">
      <alignment vertical="center"/>
    </xf>
    <xf numFmtId="3" fontId="11" fillId="26" borderId="14" xfId="0" applyNumberFormat="1" applyFont="1" applyFill="1" applyBorder="1" applyAlignment="1">
      <alignment horizontal="right" vertical="center"/>
    </xf>
    <xf numFmtId="164" fontId="2" fillId="0" borderId="22" xfId="0" applyNumberFormat="1" applyFont="1" applyFill="1" applyBorder="1" applyAlignment="1">
      <alignment vertical="center"/>
    </xf>
    <xf numFmtId="164" fontId="2" fillId="0" borderId="13" xfId="0" applyNumberFormat="1" applyFont="1" applyFill="1" applyBorder="1" applyAlignment="1">
      <alignment vertical="center"/>
    </xf>
    <xf numFmtId="164" fontId="2" fillId="0" borderId="21" xfId="0" applyNumberFormat="1" applyFont="1" applyFill="1" applyBorder="1" applyAlignment="1">
      <alignment vertical="center"/>
    </xf>
    <xf numFmtId="164" fontId="1" fillId="0" borderId="22" xfId="0" applyNumberFormat="1" applyFont="1" applyFill="1" applyBorder="1" applyAlignment="1">
      <alignment vertical="center"/>
    </xf>
    <xf numFmtId="164" fontId="1" fillId="0" borderId="13" xfId="0" applyNumberFormat="1" applyFont="1" applyFill="1" applyBorder="1" applyAlignment="1">
      <alignment vertical="center"/>
    </xf>
    <xf numFmtId="164" fontId="1" fillId="0" borderId="21" xfId="0" applyNumberFormat="1" applyFont="1" applyFill="1" applyBorder="1" applyAlignment="1">
      <alignment vertical="center"/>
    </xf>
    <xf numFmtId="164" fontId="2" fillId="0" borderId="65" xfId="0" applyNumberFormat="1" applyFont="1" applyFill="1" applyBorder="1" applyAlignment="1">
      <alignment vertical="center"/>
    </xf>
    <xf numFmtId="164" fontId="2" fillId="0" borderId="66" xfId="0" applyNumberFormat="1" applyFont="1" applyFill="1" applyBorder="1" applyAlignment="1">
      <alignment vertical="center"/>
    </xf>
    <xf numFmtId="164" fontId="2" fillId="0" borderId="67" xfId="0" applyNumberFormat="1" applyFont="1" applyFill="1" applyBorder="1" applyAlignment="1">
      <alignment vertical="center"/>
    </xf>
    <xf numFmtId="164" fontId="1" fillId="0" borderId="22" xfId="0" applyNumberFormat="1" applyFont="1" applyBorder="1" applyAlignment="1">
      <alignment vertical="center"/>
    </xf>
    <xf numFmtId="164" fontId="1" fillId="0" borderId="13" xfId="0" applyNumberFormat="1" applyFont="1" applyBorder="1" applyAlignment="1">
      <alignment vertical="center"/>
    </xf>
    <xf numFmtId="164" fontId="1" fillId="0" borderId="21" xfId="0" applyNumberFormat="1" applyFont="1" applyBorder="1" applyAlignment="1">
      <alignment vertical="center"/>
    </xf>
    <xf numFmtId="164" fontId="5" fillId="0" borderId="0" xfId="0" applyNumberFormat="1" applyFont="1" applyAlignment="1">
      <alignment vertical="center" wrapText="1"/>
    </xf>
    <xf numFmtId="164" fontId="3" fillId="0" borderId="22" xfId="0" applyNumberFormat="1" applyFont="1" applyFill="1" applyBorder="1" applyAlignment="1">
      <alignment vertical="center"/>
    </xf>
    <xf numFmtId="164" fontId="3" fillId="0" borderId="13" xfId="0" applyNumberFormat="1" applyFont="1" applyFill="1" applyBorder="1" applyAlignment="1">
      <alignment vertical="center"/>
    </xf>
    <xf numFmtId="164" fontId="3" fillId="0" borderId="21" xfId="0" applyNumberFormat="1" applyFont="1" applyFill="1" applyBorder="1" applyAlignment="1">
      <alignment vertical="center"/>
    </xf>
    <xf numFmtId="3" fontId="56" fillId="20" borderId="14" xfId="0" applyNumberFormat="1" applyFont="1" applyFill="1" applyBorder="1" applyAlignment="1">
      <alignment horizontal="center" vertical="center" wrapText="1"/>
    </xf>
    <xf numFmtId="3" fontId="3" fillId="24" borderId="14" xfId="0" applyNumberFormat="1" applyFont="1" applyFill="1" applyBorder="1" applyAlignment="1">
      <alignment vertical="center"/>
    </xf>
    <xf numFmtId="3" fontId="3" fillId="24" borderId="18" xfId="0" applyNumberFormat="1" applyFont="1" applyFill="1" applyBorder="1" applyAlignment="1">
      <alignment horizontal="right" vertical="center"/>
    </xf>
    <xf numFmtId="3" fontId="3" fillId="24" borderId="80" xfId="0" applyNumberFormat="1" applyFont="1" applyFill="1" applyBorder="1" applyAlignment="1">
      <alignment horizontal="right" vertical="center"/>
    </xf>
    <xf numFmtId="3" fontId="7" fillId="24" borderId="56" xfId="0" applyNumberFormat="1" applyFont="1" applyFill="1" applyBorder="1" applyAlignment="1">
      <alignment horizontal="right" vertical="center"/>
    </xf>
    <xf numFmtId="3" fontId="13" fillId="24" borderId="78" xfId="0" applyNumberFormat="1" applyFont="1" applyFill="1" applyBorder="1" applyAlignment="1">
      <alignment vertical="center"/>
    </xf>
    <xf numFmtId="3" fontId="3" fillId="24" borderId="22" xfId="0" applyNumberFormat="1" applyFont="1" applyFill="1" applyBorder="1" applyAlignment="1">
      <alignment horizontal="right" vertical="center"/>
    </xf>
    <xf numFmtId="3" fontId="3" fillId="24" borderId="14" xfId="0" applyNumberFormat="1" applyFont="1" applyFill="1" applyBorder="1" applyAlignment="1">
      <alignment horizontal="right" vertical="center"/>
    </xf>
    <xf numFmtId="3" fontId="7" fillId="24" borderId="14" xfId="0" applyNumberFormat="1" applyFont="1" applyFill="1" applyBorder="1" applyAlignment="1">
      <alignment horizontal="right" vertical="center"/>
    </xf>
    <xf numFmtId="3" fontId="11" fillId="24" borderId="80" xfId="0" applyNumberFormat="1" applyFont="1" applyFill="1" applyBorder="1" applyAlignment="1">
      <alignment horizontal="right" vertical="center"/>
    </xf>
    <xf numFmtId="3" fontId="11" fillId="24" borderId="25" xfId="0" applyNumberFormat="1" applyFont="1" applyFill="1" applyBorder="1" applyAlignment="1">
      <alignment horizontal="right" vertical="center"/>
    </xf>
    <xf numFmtId="3" fontId="3" fillId="24" borderId="13" xfId="0" applyNumberFormat="1" applyFont="1" applyFill="1" applyBorder="1" applyAlignment="1">
      <alignment vertical="center"/>
    </xf>
    <xf numFmtId="3" fontId="3" fillId="24" borderId="78" xfId="0" applyNumberFormat="1" applyFont="1" applyFill="1" applyBorder="1" applyAlignment="1">
      <alignment horizontal="right" vertical="center"/>
    </xf>
    <xf numFmtId="3" fontId="4" fillId="24" borderId="14" xfId="0" applyNumberFormat="1" applyFont="1" applyFill="1" applyBorder="1" applyAlignment="1">
      <alignment horizontal="right" vertical="center"/>
    </xf>
    <xf numFmtId="3" fontId="7" fillId="24" borderId="13" xfId="0" applyNumberFormat="1" applyFont="1" applyFill="1" applyBorder="1" applyAlignment="1">
      <alignment horizontal="right" vertical="center"/>
    </xf>
    <xf numFmtId="3" fontId="3" fillId="24" borderId="13" xfId="0" applyNumberFormat="1" applyFont="1" applyFill="1" applyBorder="1" applyAlignment="1">
      <alignment horizontal="right" vertical="center"/>
    </xf>
    <xf numFmtId="3" fontId="4" fillId="24" borderId="81" xfId="0" applyNumberFormat="1" applyFont="1" applyFill="1" applyBorder="1" applyAlignment="1">
      <alignment horizontal="right" vertical="center"/>
    </xf>
    <xf numFmtId="3" fontId="3" fillId="24" borderId="81" xfId="0" applyNumberFormat="1" applyFont="1" applyFill="1" applyBorder="1" applyAlignment="1">
      <alignment horizontal="right" vertical="center"/>
    </xf>
    <xf numFmtId="3" fontId="3" fillId="24" borderId="82" xfId="0" applyNumberFormat="1" applyFont="1" applyFill="1" applyBorder="1" applyAlignment="1">
      <alignment vertical="center"/>
    </xf>
    <xf numFmtId="3" fontId="3" fillId="24" borderId="82" xfId="0" applyNumberFormat="1" applyFont="1" applyFill="1" applyBorder="1" applyAlignment="1">
      <alignment horizontal="right" vertical="center"/>
    </xf>
    <xf numFmtId="3" fontId="4" fillId="24" borderId="82" xfId="0" applyNumberFormat="1" applyFont="1" applyFill="1" applyBorder="1" applyAlignment="1">
      <alignment vertical="center"/>
    </xf>
    <xf numFmtId="3" fontId="4" fillId="24" borderId="82" xfId="0" applyNumberFormat="1" applyFont="1" applyFill="1" applyBorder="1" applyAlignment="1">
      <alignment horizontal="right" vertical="center"/>
    </xf>
    <xf numFmtId="3" fontId="11" fillId="24" borderId="82" xfId="0" applyNumberFormat="1" applyFont="1" applyFill="1" applyBorder="1" applyAlignment="1">
      <alignment vertical="center"/>
    </xf>
    <xf numFmtId="3" fontId="11" fillId="24" borderId="82" xfId="0" applyNumberFormat="1" applyFont="1" applyFill="1" applyBorder="1" applyAlignment="1">
      <alignment horizontal="center" vertical="center"/>
    </xf>
    <xf numFmtId="3" fontId="4" fillId="24" borderId="80" xfId="0" applyNumberFormat="1" applyFont="1" applyFill="1" applyBorder="1" applyAlignment="1">
      <alignment vertical="center"/>
    </xf>
    <xf numFmtId="164" fontId="14" fillId="26" borderId="10" xfId="0" applyNumberFormat="1" applyFont="1" applyFill="1" applyBorder="1" applyAlignment="1">
      <alignment vertical="center"/>
    </xf>
    <xf numFmtId="164" fontId="14" fillId="26" borderId="24" xfId="0" applyNumberFormat="1" applyFont="1" applyFill="1" applyBorder="1" applyAlignment="1">
      <alignment vertical="center"/>
    </xf>
    <xf numFmtId="164" fontId="15" fillId="26" borderId="14" xfId="0" applyNumberFormat="1" applyFont="1" applyFill="1" applyBorder="1" applyAlignment="1">
      <alignment vertical="center"/>
    </xf>
    <xf numFmtId="164" fontId="2" fillId="26" borderId="38" xfId="0" applyNumberFormat="1" applyFont="1" applyFill="1" applyBorder="1" applyAlignment="1">
      <alignment vertical="center"/>
    </xf>
    <xf numFmtId="164" fontId="2" fillId="22" borderId="39" xfId="0" applyNumberFormat="1" applyFont="1" applyFill="1" applyBorder="1" applyAlignment="1">
      <alignment vertical="center"/>
    </xf>
    <xf numFmtId="164" fontId="2" fillId="7" borderId="41" xfId="0" applyNumberFormat="1" applyFont="1" applyFill="1" applyBorder="1" applyAlignment="1">
      <alignment vertical="center"/>
    </xf>
    <xf numFmtId="164" fontId="1" fillId="26" borderId="42" xfId="0" applyNumberFormat="1" applyFont="1" applyFill="1" applyBorder="1" applyAlignment="1">
      <alignment vertical="center"/>
    </xf>
    <xf numFmtId="164" fontId="1" fillId="24" borderId="43" xfId="0" applyNumberFormat="1" applyFont="1" applyFill="1" applyBorder="1" applyAlignment="1">
      <alignment vertical="center"/>
    </xf>
    <xf numFmtId="164" fontId="1" fillId="7" borderId="71" xfId="0" applyNumberFormat="1" applyFont="1" applyFill="1" applyBorder="1" applyAlignment="1">
      <alignment vertical="center"/>
    </xf>
    <xf numFmtId="3" fontId="3" fillId="24" borderId="52" xfId="0" applyNumberFormat="1" applyFont="1" applyFill="1" applyBorder="1" applyAlignment="1">
      <alignment vertical="center"/>
    </xf>
    <xf numFmtId="3" fontId="7" fillId="24" borderId="52" xfId="0" applyNumberFormat="1" applyFont="1" applyFill="1" applyBorder="1" applyAlignment="1">
      <alignment horizontal="right" vertical="center"/>
    </xf>
    <xf numFmtId="3" fontId="13" fillId="24" borderId="52" xfId="0" applyNumberFormat="1" applyFont="1" applyFill="1" applyBorder="1" applyAlignment="1">
      <alignment vertical="center"/>
    </xf>
    <xf numFmtId="3" fontId="7" fillId="24" borderId="52" xfId="0" applyNumberFormat="1" applyFont="1" applyFill="1" applyBorder="1" applyAlignment="1">
      <alignment vertical="center"/>
    </xf>
    <xf numFmtId="3" fontId="3" fillId="24" borderId="52" xfId="0" applyNumberFormat="1" applyFont="1" applyFill="1" applyBorder="1" applyAlignment="1">
      <alignment horizontal="right" vertical="center"/>
    </xf>
    <xf numFmtId="3" fontId="4" fillId="24" borderId="52" xfId="0" applyNumberFormat="1" applyFont="1" applyFill="1" applyBorder="1" applyAlignment="1">
      <alignment vertical="center"/>
    </xf>
    <xf numFmtId="3" fontId="3" fillId="24" borderId="42" xfId="0" applyNumberFormat="1" applyFont="1" applyFill="1" applyBorder="1" applyAlignment="1">
      <alignment vertical="center"/>
    </xf>
    <xf numFmtId="3" fontId="7" fillId="24" borderId="43" xfId="0" applyNumberFormat="1" applyFont="1" applyFill="1" applyBorder="1" applyAlignment="1">
      <alignment horizontal="right" vertical="center"/>
    </xf>
    <xf numFmtId="3" fontId="3" fillId="24" borderId="43" xfId="0" applyNumberFormat="1" applyFont="1" applyFill="1" applyBorder="1" applyAlignment="1">
      <alignment vertical="center"/>
    </xf>
    <xf numFmtId="3" fontId="13" fillId="24" borderId="43" xfId="0" applyNumberFormat="1" applyFont="1" applyFill="1" applyBorder="1" applyAlignment="1">
      <alignment vertical="center"/>
    </xf>
    <xf numFmtId="3" fontId="7" fillId="24" borderId="51" xfId="0" applyNumberFormat="1" applyFont="1" applyFill="1" applyBorder="1" applyAlignment="1">
      <alignment vertical="center"/>
    </xf>
    <xf numFmtId="3" fontId="3" fillId="24" borderId="51" xfId="0" applyNumberFormat="1" applyFont="1" applyFill="1" applyBorder="1" applyAlignment="1">
      <alignment vertical="center"/>
    </xf>
    <xf numFmtId="3" fontId="7" fillId="24" borderId="51" xfId="0" applyNumberFormat="1" applyFont="1" applyFill="1" applyBorder="1" applyAlignment="1">
      <alignment horizontal="right" vertical="center"/>
    </xf>
    <xf numFmtId="3" fontId="3" fillId="24" borderId="57" xfId="0" applyNumberFormat="1" applyFont="1" applyFill="1" applyBorder="1" applyAlignment="1">
      <alignment vertical="center"/>
    </xf>
    <xf numFmtId="3" fontId="7" fillId="24" borderId="58" xfId="0" applyNumberFormat="1" applyFont="1" applyFill="1" applyBorder="1" applyAlignment="1">
      <alignment horizontal="right" vertical="center"/>
    </xf>
    <xf numFmtId="3" fontId="3" fillId="24" borderId="58" xfId="0" applyNumberFormat="1" applyFont="1" applyFill="1" applyBorder="1" applyAlignment="1">
      <alignment vertical="center"/>
    </xf>
    <xf numFmtId="3" fontId="13" fillId="24" borderId="58" xfId="0" applyNumberFormat="1" applyFont="1" applyFill="1" applyBorder="1" applyAlignment="1">
      <alignment vertical="center"/>
    </xf>
    <xf numFmtId="164" fontId="3" fillId="7" borderId="13" xfId="0" applyNumberFormat="1" applyFont="1" applyFill="1" applyBorder="1" applyAlignment="1">
      <alignment vertical="center" wrapText="1"/>
    </xf>
    <xf numFmtId="3" fontId="3" fillId="7" borderId="36" xfId="0" applyNumberFormat="1" applyFont="1" applyFill="1" applyBorder="1" applyAlignment="1">
      <alignment vertical="center"/>
    </xf>
    <xf numFmtId="3" fontId="13" fillId="7" borderId="36" xfId="0" applyNumberFormat="1" applyFont="1" applyFill="1" applyBorder="1" applyAlignment="1">
      <alignment vertical="center"/>
    </xf>
    <xf numFmtId="3" fontId="3" fillId="7" borderId="78" xfId="0" applyNumberFormat="1" applyFont="1" applyFill="1" applyBorder="1" applyAlignment="1">
      <alignment vertical="center"/>
    </xf>
    <xf numFmtId="164" fontId="18" fillId="7" borderId="56" xfId="0" applyNumberFormat="1" applyFont="1" applyFill="1" applyBorder="1" applyAlignment="1">
      <alignment vertical="center"/>
    </xf>
    <xf numFmtId="164" fontId="2" fillId="7" borderId="63" xfId="0" applyNumberFormat="1" applyFont="1" applyFill="1" applyBorder="1" applyAlignment="1">
      <alignment vertical="center" wrapText="1"/>
    </xf>
    <xf numFmtId="3" fontId="3" fillId="7" borderId="30" xfId="0" applyNumberFormat="1" applyFont="1" applyFill="1" applyBorder="1" applyAlignment="1">
      <alignment vertical="center"/>
    </xf>
    <xf numFmtId="3" fontId="13" fillId="7" borderId="30" xfId="0" applyNumberFormat="1" applyFont="1" applyFill="1" applyBorder="1" applyAlignment="1">
      <alignment vertical="center"/>
    </xf>
    <xf numFmtId="3" fontId="3" fillId="7" borderId="29" xfId="0" applyNumberFormat="1" applyFont="1" applyFill="1" applyBorder="1" applyAlignment="1">
      <alignment vertical="center"/>
    </xf>
    <xf numFmtId="164" fontId="4" fillId="0" borderId="42" xfId="0" applyNumberFormat="1" applyFont="1" applyBorder="1" applyAlignment="1">
      <alignment vertical="center" wrapText="1"/>
    </xf>
    <xf numFmtId="3" fontId="3" fillId="24" borderId="43" xfId="0" applyNumberFormat="1" applyFont="1" applyFill="1" applyBorder="1" applyAlignment="1">
      <alignment horizontal="right" vertical="center"/>
    </xf>
    <xf numFmtId="49" fontId="18" fillId="0" borderId="51" xfId="0" applyNumberFormat="1" applyFont="1" applyBorder="1" applyAlignment="1">
      <alignment horizontal="right" vertical="center" wrapText="1"/>
    </xf>
    <xf numFmtId="164" fontId="4" fillId="0" borderId="51" xfId="0" applyNumberFormat="1" applyFont="1" applyBorder="1" applyAlignment="1">
      <alignment vertical="center" wrapText="1"/>
    </xf>
    <xf numFmtId="164" fontId="18" fillId="0" borderId="51" xfId="0" applyNumberFormat="1" applyFont="1" applyFill="1" applyBorder="1" applyAlignment="1">
      <alignment horizontal="right" vertical="center" wrapText="1"/>
    </xf>
    <xf numFmtId="164" fontId="1" fillId="24" borderId="51" xfId="0" applyNumberFormat="1" applyFont="1" applyFill="1" applyBorder="1" applyAlignment="1">
      <alignment vertical="center" wrapText="1"/>
    </xf>
    <xf numFmtId="164" fontId="4" fillId="0" borderId="51" xfId="53" applyNumberFormat="1" applyFont="1" applyBorder="1" applyAlignment="1">
      <alignment vertical="center" wrapText="1"/>
      <protection/>
    </xf>
    <xf numFmtId="164" fontId="18" fillId="0" borderId="51" xfId="53" applyNumberFormat="1" applyFont="1" applyBorder="1" applyAlignment="1">
      <alignment horizontal="right" vertical="center" wrapText="1"/>
      <protection/>
    </xf>
    <xf numFmtId="166" fontId="18" fillId="24" borderId="51" xfId="0" applyNumberFormat="1" applyFont="1" applyFill="1" applyBorder="1" applyAlignment="1">
      <alignment horizontal="right" vertical="center" wrapText="1"/>
    </xf>
    <xf numFmtId="164" fontId="18" fillId="0" borderId="57" xfId="0" applyNumberFormat="1" applyFont="1" applyBorder="1" applyAlignment="1">
      <alignment horizontal="right" vertical="center" wrapText="1"/>
    </xf>
    <xf numFmtId="3" fontId="3" fillId="24" borderId="58" xfId="0" applyNumberFormat="1" applyFont="1" applyFill="1" applyBorder="1" applyAlignment="1">
      <alignment horizontal="right" vertical="center"/>
    </xf>
    <xf numFmtId="164" fontId="18" fillId="0" borderId="38" xfId="53" applyNumberFormat="1" applyFont="1" applyBorder="1" applyAlignment="1">
      <alignment horizontal="right" vertical="center" wrapText="1"/>
      <protection/>
    </xf>
    <xf numFmtId="3" fontId="3" fillId="24" borderId="39" xfId="0" applyNumberFormat="1" applyFont="1" applyFill="1" applyBorder="1" applyAlignment="1">
      <alignment vertical="center"/>
    </xf>
    <xf numFmtId="3" fontId="3" fillId="24" borderId="39" xfId="0" applyNumberFormat="1" applyFont="1" applyFill="1" applyBorder="1" applyAlignment="1">
      <alignment horizontal="right" vertical="center"/>
    </xf>
    <xf numFmtId="3" fontId="13" fillId="24" borderId="39" xfId="0" applyNumberFormat="1" applyFont="1" applyFill="1" applyBorder="1" applyAlignment="1">
      <alignment vertical="center"/>
    </xf>
    <xf numFmtId="3" fontId="7" fillId="24" borderId="39" xfId="0" applyNumberFormat="1" applyFont="1" applyFill="1" applyBorder="1" applyAlignment="1">
      <alignment horizontal="right" vertical="center"/>
    </xf>
    <xf numFmtId="166" fontId="18" fillId="24" borderId="45" xfId="0" applyNumberFormat="1" applyFont="1" applyFill="1" applyBorder="1" applyAlignment="1">
      <alignment horizontal="right" vertical="center" wrapText="1"/>
    </xf>
    <xf numFmtId="3" fontId="3" fillId="24" borderId="46" xfId="0" applyNumberFormat="1" applyFont="1" applyFill="1" applyBorder="1" applyAlignment="1">
      <alignment vertical="center"/>
    </xf>
    <xf numFmtId="3" fontId="3" fillId="24" borderId="46" xfId="0" applyNumberFormat="1" applyFont="1" applyFill="1" applyBorder="1" applyAlignment="1">
      <alignment horizontal="right" vertical="center"/>
    </xf>
    <xf numFmtId="3" fontId="13" fillId="24" borderId="46" xfId="0" applyNumberFormat="1" applyFont="1" applyFill="1" applyBorder="1" applyAlignment="1">
      <alignment vertical="center"/>
    </xf>
    <xf numFmtId="164" fontId="1" fillId="24" borderId="10" xfId="0" applyNumberFormat="1" applyFont="1" applyFill="1" applyBorder="1" applyAlignment="1">
      <alignment vertical="center" wrapText="1"/>
    </xf>
    <xf numFmtId="3" fontId="7" fillId="24" borderId="11" xfId="0" applyNumberFormat="1" applyFont="1" applyFill="1" applyBorder="1" applyAlignment="1">
      <alignment horizontal="right" vertical="center"/>
    </xf>
    <xf numFmtId="3" fontId="3" fillId="24" borderId="11" xfId="0" applyNumberFormat="1" applyFont="1" applyFill="1" applyBorder="1" applyAlignment="1">
      <alignment vertical="center"/>
    </xf>
    <xf numFmtId="3" fontId="13" fillId="24" borderId="11" xfId="0" applyNumberFormat="1" applyFont="1" applyFill="1" applyBorder="1" applyAlignment="1">
      <alignment vertical="center"/>
    </xf>
    <xf numFmtId="3" fontId="3" fillId="24" borderId="50" xfId="0" applyNumberFormat="1" applyFont="1" applyFill="1" applyBorder="1" applyAlignment="1">
      <alignment horizontal="right" vertical="center"/>
    </xf>
    <xf numFmtId="3" fontId="3" fillId="24" borderId="56" xfId="0" applyNumberFormat="1" applyFont="1" applyFill="1" applyBorder="1" applyAlignment="1">
      <alignment horizontal="right" vertical="center"/>
    </xf>
    <xf numFmtId="3" fontId="7" fillId="24" borderId="62" xfId="0" applyNumberFormat="1" applyFont="1" applyFill="1" applyBorder="1" applyAlignment="1">
      <alignment horizontal="right" vertical="center"/>
    </xf>
    <xf numFmtId="164" fontId="18" fillId="24" borderId="77" xfId="0" applyNumberFormat="1" applyFont="1" applyFill="1" applyBorder="1" applyAlignment="1">
      <alignment horizontal="right" vertical="center" wrapText="1"/>
    </xf>
    <xf numFmtId="164" fontId="18" fillId="24" borderId="75" xfId="0" applyNumberFormat="1" applyFont="1" applyFill="1" applyBorder="1" applyAlignment="1">
      <alignment horizontal="right" vertical="center" wrapText="1"/>
    </xf>
    <xf numFmtId="164" fontId="18" fillId="24" borderId="65" xfId="0" applyNumberFormat="1" applyFont="1" applyFill="1" applyBorder="1" applyAlignment="1">
      <alignment horizontal="right" vertical="center" wrapText="1"/>
    </xf>
    <xf numFmtId="164" fontId="2" fillId="7" borderId="66" xfId="0" applyNumberFormat="1" applyFont="1" applyFill="1" applyBorder="1" applyAlignment="1">
      <alignment vertical="center" wrapText="1"/>
    </xf>
    <xf numFmtId="3" fontId="3" fillId="7" borderId="30" xfId="0" applyNumberFormat="1" applyFont="1" applyFill="1" applyBorder="1" applyAlignment="1">
      <alignment vertical="center" wrapText="1"/>
    </xf>
    <xf numFmtId="3" fontId="3" fillId="7" borderId="29" xfId="0" applyNumberFormat="1" applyFont="1" applyFill="1" applyBorder="1" applyAlignment="1">
      <alignment vertical="center" wrapText="1"/>
    </xf>
    <xf numFmtId="164" fontId="2" fillId="7" borderId="36" xfId="0" applyNumberFormat="1" applyFont="1" applyFill="1" applyBorder="1" applyAlignment="1">
      <alignment vertical="center" wrapText="1"/>
    </xf>
    <xf numFmtId="3" fontId="3" fillId="7" borderId="28" xfId="0" applyNumberFormat="1" applyFont="1" applyFill="1" applyBorder="1" applyAlignment="1">
      <alignment vertical="center" wrapText="1"/>
    </xf>
    <xf numFmtId="3" fontId="3" fillId="7" borderId="30" xfId="0" applyNumberFormat="1" applyFont="1" applyFill="1" applyBorder="1" applyAlignment="1">
      <alignment horizontal="right" vertical="center"/>
    </xf>
    <xf numFmtId="3" fontId="3" fillId="7" borderId="29" xfId="0" applyNumberFormat="1" applyFont="1" applyFill="1" applyBorder="1" applyAlignment="1">
      <alignment horizontal="right" vertical="center"/>
    </xf>
    <xf numFmtId="164" fontId="5" fillId="26" borderId="21" xfId="0" applyNumberFormat="1" applyFont="1" applyFill="1" applyBorder="1" applyAlignment="1">
      <alignment vertical="center" wrapText="1"/>
    </xf>
    <xf numFmtId="3" fontId="5" fillId="26" borderId="14" xfId="0" applyNumberFormat="1" applyFont="1" applyFill="1" applyBorder="1" applyAlignment="1">
      <alignment vertical="center"/>
    </xf>
    <xf numFmtId="3" fontId="5" fillId="0" borderId="14" xfId="0" applyNumberFormat="1" applyFont="1" applyFill="1" applyBorder="1" applyAlignment="1">
      <alignment vertical="center"/>
    </xf>
    <xf numFmtId="164" fontId="24" fillId="0" borderId="22" xfId="53" applyNumberFormat="1" applyFont="1" applyBorder="1" applyAlignment="1">
      <alignment horizontal="right" vertical="center" wrapText="1"/>
      <protection/>
    </xf>
    <xf numFmtId="3" fontId="3" fillId="7" borderId="0" xfId="0" applyNumberFormat="1" applyFont="1" applyFill="1" applyBorder="1" applyAlignment="1">
      <alignment vertical="center"/>
    </xf>
    <xf numFmtId="170" fontId="25" fillId="0" borderId="10" xfId="0" applyNumberFormat="1" applyFont="1" applyBorder="1" applyAlignment="1">
      <alignment horizontal="center" wrapText="1"/>
    </xf>
    <xf numFmtId="0" fontId="25" fillId="0" borderId="11" xfId="0" applyFont="1" applyBorder="1" applyAlignment="1">
      <alignment horizontal="left" wrapText="1"/>
    </xf>
    <xf numFmtId="0" fontId="25" fillId="0" borderId="12" xfId="0" applyFont="1" applyBorder="1" applyAlignment="1">
      <alignment horizontal="center" wrapText="1"/>
    </xf>
    <xf numFmtId="0" fontId="25" fillId="0" borderId="0" xfId="0" applyFont="1" applyAlignment="1">
      <alignment horizontal="center" wrapText="1"/>
    </xf>
    <xf numFmtId="170" fontId="26" fillId="0" borderId="42" xfId="0" applyNumberFormat="1" applyFont="1" applyBorder="1" applyAlignment="1">
      <alignment horizontal="center" wrapText="1"/>
    </xf>
    <xf numFmtId="0" fontId="26" fillId="0" borderId="43" xfId="0" applyFont="1" applyBorder="1" applyAlignment="1">
      <alignment horizontal="left" wrapText="1"/>
    </xf>
    <xf numFmtId="0" fontId="26" fillId="0" borderId="20" xfId="0" applyFont="1" applyBorder="1" applyAlignment="1">
      <alignment horizontal="center" wrapText="1"/>
    </xf>
    <xf numFmtId="170" fontId="26" fillId="0" borderId="51" xfId="0" applyNumberFormat="1" applyFont="1" applyBorder="1" applyAlignment="1">
      <alignment wrapText="1"/>
    </xf>
    <xf numFmtId="0" fontId="26" fillId="0" borderId="52" xfId="0" applyFont="1" applyBorder="1" applyAlignment="1">
      <alignment horizontal="left" wrapText="1"/>
    </xf>
    <xf numFmtId="0" fontId="26" fillId="0" borderId="53" xfId="0" applyFont="1" applyBorder="1" applyAlignment="1">
      <alignment wrapText="1"/>
    </xf>
    <xf numFmtId="0" fontId="26" fillId="0" borderId="0" xfId="0" applyFont="1" applyAlignment="1">
      <alignment wrapText="1"/>
    </xf>
    <xf numFmtId="170" fontId="26" fillId="0" borderId="0" xfId="0" applyNumberFormat="1" applyFont="1" applyAlignment="1">
      <alignment wrapText="1"/>
    </xf>
    <xf numFmtId="0" fontId="26" fillId="0" borderId="0" xfId="0" applyFont="1" applyAlignment="1">
      <alignment horizontal="left" wrapText="1"/>
    </xf>
    <xf numFmtId="0" fontId="25" fillId="0" borderId="10" xfId="0" applyFont="1" applyBorder="1" applyAlignment="1">
      <alignment horizontal="left" wrapText="1"/>
    </xf>
    <xf numFmtId="0" fontId="26" fillId="0" borderId="45" xfId="0" applyFont="1" applyBorder="1" applyAlignment="1">
      <alignment horizontal="left" wrapText="1"/>
    </xf>
    <xf numFmtId="0" fontId="26" fillId="0" borderId="51" xfId="0" applyFont="1" applyBorder="1" applyAlignment="1">
      <alignment horizontal="left" wrapText="1"/>
    </xf>
    <xf numFmtId="0" fontId="26" fillId="0" borderId="0" xfId="0" applyFont="1" applyAlignment="1">
      <alignment vertical="center" wrapText="1"/>
    </xf>
    <xf numFmtId="164" fontId="26" fillId="0" borderId="0" xfId="0" applyNumberFormat="1" applyFont="1" applyAlignment="1">
      <alignment horizontal="left" vertical="center" wrapText="1"/>
    </xf>
    <xf numFmtId="164" fontId="26" fillId="0" borderId="82" xfId="0" applyNumberFormat="1" applyFont="1" applyBorder="1" applyAlignment="1">
      <alignment horizontal="left" vertical="center" wrapText="1"/>
    </xf>
    <xf numFmtId="0" fontId="26" fillId="0" borderId="82" xfId="0" applyFont="1" applyBorder="1" applyAlignment="1">
      <alignment horizontal="left" wrapText="1"/>
    </xf>
    <xf numFmtId="0" fontId="26" fillId="0" borderId="80" xfId="0" applyFont="1" applyBorder="1" applyAlignment="1">
      <alignment horizontal="left" wrapText="1"/>
    </xf>
    <xf numFmtId="3" fontId="3" fillId="24" borderId="52" xfId="0" applyNumberFormat="1" applyFont="1" applyFill="1" applyBorder="1" applyAlignment="1">
      <alignment vertical="center" wrapText="1"/>
    </xf>
    <xf numFmtId="3" fontId="3" fillId="24" borderId="51" xfId="0" applyNumberFormat="1" applyFont="1" applyFill="1" applyBorder="1" applyAlignment="1">
      <alignment horizontal="right" vertical="center"/>
    </xf>
    <xf numFmtId="164" fontId="13" fillId="4" borderId="13" xfId="0" applyNumberFormat="1" applyFont="1" applyFill="1" applyBorder="1" applyAlignment="1">
      <alignment horizontal="center" vertical="center" wrapText="1"/>
    </xf>
    <xf numFmtId="3" fontId="3" fillId="4" borderId="36" xfId="0" applyNumberFormat="1" applyFont="1" applyFill="1" applyBorder="1" applyAlignment="1">
      <alignment vertical="center"/>
    </xf>
    <xf numFmtId="3" fontId="13" fillId="4" borderId="30" xfId="0" applyNumberFormat="1" applyFont="1" applyFill="1" applyBorder="1" applyAlignment="1">
      <alignment vertical="center"/>
    </xf>
    <xf numFmtId="3" fontId="13" fillId="24" borderId="20" xfId="0" applyNumberFormat="1" applyFont="1" applyFill="1" applyBorder="1" applyAlignment="1">
      <alignment vertical="center"/>
    </xf>
    <xf numFmtId="3" fontId="13" fillId="24" borderId="53" xfId="0" applyNumberFormat="1" applyFont="1" applyFill="1" applyBorder="1" applyAlignment="1">
      <alignment vertical="center"/>
    </xf>
    <xf numFmtId="3" fontId="13" fillId="24" borderId="59" xfId="0" applyNumberFormat="1" applyFont="1" applyFill="1" applyBorder="1" applyAlignment="1">
      <alignment vertical="center"/>
    </xf>
    <xf numFmtId="3" fontId="13" fillId="24" borderId="27" xfId="0" applyNumberFormat="1" applyFont="1" applyFill="1" applyBorder="1" applyAlignment="1">
      <alignment vertical="center"/>
    </xf>
    <xf numFmtId="3" fontId="13" fillId="24" borderId="18" xfId="0" applyNumberFormat="1" applyFont="1" applyFill="1" applyBorder="1" applyAlignment="1">
      <alignment vertical="center"/>
    </xf>
    <xf numFmtId="3" fontId="13" fillId="24" borderId="81" xfId="0" applyNumberFormat="1" applyFont="1" applyFill="1" applyBorder="1" applyAlignment="1">
      <alignment vertical="center"/>
    </xf>
    <xf numFmtId="3" fontId="13" fillId="24" borderId="12" xfId="0" applyNumberFormat="1" applyFont="1" applyFill="1" applyBorder="1" applyAlignment="1">
      <alignment vertical="center"/>
    </xf>
    <xf numFmtId="3" fontId="28" fillId="20" borderId="36" xfId="0" applyNumberFormat="1" applyFont="1" applyFill="1" applyBorder="1" applyAlignment="1">
      <alignment horizontal="center" vertical="center" wrapText="1"/>
    </xf>
    <xf numFmtId="170" fontId="26" fillId="0" borderId="38" xfId="0" applyNumberFormat="1" applyFont="1" applyBorder="1" applyAlignment="1">
      <alignment wrapText="1"/>
    </xf>
    <xf numFmtId="0" fontId="26" fillId="0" borderId="39" xfId="0" applyFont="1" applyBorder="1" applyAlignment="1">
      <alignment horizontal="left" wrapText="1"/>
    </xf>
    <xf numFmtId="170" fontId="26" fillId="0" borderId="52" xfId="0" applyNumberFormat="1" applyFont="1" applyBorder="1" applyAlignment="1">
      <alignment wrapText="1"/>
    </xf>
    <xf numFmtId="0" fontId="26" fillId="0" borderId="52" xfId="0" applyFont="1" applyBorder="1" applyAlignment="1">
      <alignment wrapText="1"/>
    </xf>
    <xf numFmtId="3" fontId="5" fillId="25" borderId="14" xfId="0" applyNumberFormat="1" applyFont="1" applyFill="1" applyBorder="1" applyAlignment="1">
      <alignment vertical="center"/>
    </xf>
    <xf numFmtId="3" fontId="57" fillId="20" borderId="14" xfId="0" applyNumberFormat="1" applyFont="1" applyFill="1" applyBorder="1" applyAlignment="1">
      <alignment horizontal="center" vertical="center" wrapText="1"/>
    </xf>
    <xf numFmtId="3" fontId="58" fillId="4" borderId="36" xfId="0" applyNumberFormat="1" applyFont="1" applyFill="1" applyBorder="1" applyAlignment="1">
      <alignment vertical="center"/>
    </xf>
    <xf numFmtId="164" fontId="26" fillId="0" borderId="53" xfId="0" applyNumberFormat="1" applyFont="1" applyBorder="1" applyAlignment="1">
      <alignment vertical="center" wrapText="1"/>
    </xf>
    <xf numFmtId="164" fontId="26" fillId="0" borderId="53" xfId="0" applyNumberFormat="1" applyFont="1" applyFill="1" applyBorder="1" applyAlignment="1">
      <alignment vertical="center" wrapText="1"/>
    </xf>
    <xf numFmtId="164" fontId="26" fillId="0" borderId="27" xfId="0" applyNumberFormat="1" applyFont="1" applyBorder="1" applyAlignment="1">
      <alignment vertical="center" wrapText="1"/>
    </xf>
    <xf numFmtId="0" fontId="4" fillId="0" borderId="0" xfId="0" applyFont="1" applyAlignment="1">
      <alignment vertical="center" wrapText="1"/>
    </xf>
    <xf numFmtId="164" fontId="17" fillId="0" borderId="0" xfId="0" applyNumberFormat="1" applyFont="1" applyFill="1" applyAlignment="1">
      <alignment horizontal="right" wrapText="1"/>
    </xf>
    <xf numFmtId="4" fontId="17" fillId="0" borderId="0" xfId="0" applyNumberFormat="1" applyFont="1" applyFill="1" applyAlignment="1">
      <alignment wrapText="1"/>
    </xf>
    <xf numFmtId="0" fontId="17" fillId="0" borderId="0" xfId="0" applyFont="1" applyFill="1" applyAlignment="1">
      <alignment wrapText="1"/>
    </xf>
    <xf numFmtId="4" fontId="3" fillId="0" borderId="0" xfId="0" applyNumberFormat="1" applyFont="1" applyFill="1" applyAlignment="1">
      <alignment vertical="center" wrapText="1"/>
    </xf>
    <xf numFmtId="4" fontId="25" fillId="0" borderId="0" xfId="0" applyNumberFormat="1" applyFont="1" applyFill="1" applyAlignment="1">
      <alignment vertical="center" wrapText="1"/>
    </xf>
    <xf numFmtId="4" fontId="26" fillId="0" borderId="0" xfId="0" applyNumberFormat="1" applyFont="1" applyFill="1" applyBorder="1" applyAlignment="1">
      <alignment vertical="top" wrapText="1"/>
    </xf>
    <xf numFmtId="4" fontId="25" fillId="0" borderId="0" xfId="0" applyNumberFormat="1" applyFont="1" applyFill="1" applyBorder="1" applyAlignment="1">
      <alignment horizontal="left" vertical="top" wrapText="1"/>
    </xf>
    <xf numFmtId="4" fontId="25" fillId="0" borderId="0" xfId="0" applyNumberFormat="1" applyFont="1" applyFill="1" applyBorder="1" applyAlignment="1">
      <alignment wrapText="1"/>
    </xf>
    <xf numFmtId="4" fontId="26" fillId="0" borderId="0" xfId="0" applyNumberFormat="1" applyFont="1" applyFill="1" applyBorder="1" applyAlignment="1">
      <alignment wrapText="1"/>
    </xf>
    <xf numFmtId="4" fontId="3" fillId="0" borderId="36" xfId="0" applyNumberFormat="1" applyFont="1" applyFill="1" applyBorder="1" applyAlignment="1">
      <alignment horizontal="center" vertical="top" wrapText="1"/>
    </xf>
    <xf numFmtId="4" fontId="3" fillId="0" borderId="64" xfId="0" applyNumberFormat="1" applyFont="1" applyFill="1" applyBorder="1" applyAlignment="1">
      <alignment horizontal="left" vertical="top" wrapText="1"/>
    </xf>
    <xf numFmtId="4" fontId="3" fillId="0" borderId="36" xfId="0" applyNumberFormat="1" applyFont="1" applyFill="1" applyBorder="1" applyAlignment="1">
      <alignment horizontal="center" vertical="center" wrapText="1"/>
    </xf>
    <xf numFmtId="4" fontId="3" fillId="0" borderId="64" xfId="0" applyNumberFormat="1" applyFont="1" applyFill="1" applyBorder="1" applyAlignment="1">
      <alignment horizontal="center" vertical="center" wrapText="1"/>
    </xf>
    <xf numFmtId="4" fontId="26" fillId="0" borderId="23" xfId="0" applyNumberFormat="1" applyFont="1" applyFill="1" applyBorder="1" applyAlignment="1" applyProtection="1">
      <alignment horizontal="left" vertical="top" wrapText="1"/>
      <protection hidden="1"/>
    </xf>
    <xf numFmtId="4" fontId="29" fillId="0" borderId="14" xfId="0" applyNumberFormat="1" applyFont="1" applyFill="1" applyBorder="1" applyAlignment="1">
      <alignment horizontal="center" vertical="center" wrapText="1"/>
    </xf>
    <xf numFmtId="4" fontId="26" fillId="0" borderId="21" xfId="0" applyNumberFormat="1" applyFont="1" applyFill="1" applyBorder="1" applyAlignment="1">
      <alignment horizontal="left" vertical="center" wrapText="1"/>
    </xf>
    <xf numFmtId="4" fontId="26" fillId="0" borderId="14" xfId="0" applyNumberFormat="1" applyFont="1" applyFill="1" applyBorder="1" applyAlignment="1">
      <alignment horizontal="center" vertical="center" wrapText="1"/>
    </xf>
    <xf numFmtId="4" fontId="26" fillId="0" borderId="15" xfId="0" applyNumberFormat="1" applyFont="1" applyFill="1" applyBorder="1" applyAlignment="1" applyProtection="1">
      <alignment horizontal="left" vertical="top" wrapText="1"/>
      <protection hidden="1"/>
    </xf>
    <xf numFmtId="4" fontId="26" fillId="0" borderId="36" xfId="0" applyNumberFormat="1" applyFont="1" applyFill="1" applyBorder="1" applyAlignment="1">
      <alignment horizontal="center" vertical="center" wrapText="1"/>
    </xf>
    <xf numFmtId="4" fontId="26" fillId="0" borderId="64" xfId="0" applyNumberFormat="1" applyFont="1" applyFill="1" applyBorder="1" applyAlignment="1">
      <alignment horizontal="left" vertical="center" wrapText="1"/>
    </xf>
    <xf numFmtId="4" fontId="25" fillId="0" borderId="10" xfId="0" applyNumberFormat="1" applyFont="1" applyFill="1" applyBorder="1" applyAlignment="1">
      <alignment horizontal="right" vertical="top" wrapText="1"/>
    </xf>
    <xf numFmtId="4" fontId="26" fillId="0" borderId="11" xfId="0" applyNumberFormat="1" applyFont="1" applyFill="1" applyBorder="1" applyAlignment="1" applyProtection="1">
      <alignment horizontal="left" vertical="top" wrapText="1"/>
      <protection hidden="1"/>
    </xf>
    <xf numFmtId="4" fontId="25" fillId="0" borderId="14" xfId="0" applyNumberFormat="1" applyFont="1" applyFill="1" applyBorder="1" applyAlignment="1">
      <alignment horizontal="center" vertical="center" wrapText="1"/>
    </xf>
    <xf numFmtId="4" fontId="25" fillId="0" borderId="21" xfId="0" applyNumberFormat="1" applyFont="1" applyFill="1" applyBorder="1" applyAlignment="1">
      <alignment horizontal="left" vertical="center" wrapText="1"/>
    </xf>
    <xf numFmtId="4" fontId="25" fillId="0" borderId="22" xfId="0" applyNumberFormat="1" applyFont="1" applyFill="1" applyBorder="1" applyAlignment="1">
      <alignment horizontal="right" vertical="top" wrapText="1"/>
    </xf>
    <xf numFmtId="4" fontId="25" fillId="0" borderId="14" xfId="0" applyNumberFormat="1" applyFont="1" applyFill="1" applyBorder="1" applyAlignment="1" applyProtection="1">
      <alignment horizontal="center" vertical="top" wrapText="1"/>
      <protection hidden="1"/>
    </xf>
    <xf numFmtId="4" fontId="25" fillId="0" borderId="13" xfId="0" applyNumberFormat="1" applyFont="1" applyFill="1" applyBorder="1" applyAlignment="1">
      <alignment horizontal="left" vertical="center" wrapText="1"/>
    </xf>
    <xf numFmtId="0" fontId="26" fillId="0" borderId="0" xfId="0" applyFont="1" applyFill="1" applyAlignment="1">
      <alignment vertical="center" wrapText="1"/>
    </xf>
    <xf numFmtId="164" fontId="25" fillId="0" borderId="22" xfId="0" applyNumberFormat="1" applyFont="1" applyFill="1" applyBorder="1" applyAlignment="1">
      <alignment vertical="center" wrapText="1"/>
    </xf>
    <xf numFmtId="4" fontId="27" fillId="0" borderId="14" xfId="0" applyNumberFormat="1" applyFont="1" applyFill="1" applyBorder="1" applyAlignment="1">
      <alignment horizontal="right" vertical="center" wrapText="1"/>
    </xf>
    <xf numFmtId="3" fontId="26" fillId="0" borderId="21" xfId="0" applyNumberFormat="1" applyFont="1" applyFill="1" applyBorder="1" applyAlignment="1">
      <alignment horizontal="left" vertical="center" wrapText="1"/>
    </xf>
    <xf numFmtId="0" fontId="4" fillId="0" borderId="0" xfId="0" applyFont="1" applyFill="1" applyAlignment="1">
      <alignment vertical="center" wrapText="1"/>
    </xf>
    <xf numFmtId="164" fontId="3" fillId="0" borderId="14" xfId="0" applyNumberFormat="1" applyFont="1" applyFill="1" applyBorder="1" applyAlignment="1">
      <alignment horizontal="right" vertical="center" wrapText="1"/>
    </xf>
    <xf numFmtId="4" fontId="7" fillId="0" borderId="21" xfId="0" applyNumberFormat="1" applyFont="1" applyFill="1" applyBorder="1" applyAlignment="1">
      <alignment horizontal="right" vertical="center" wrapText="1"/>
    </xf>
    <xf numFmtId="3" fontId="4" fillId="0" borderId="14" xfId="0" applyNumberFormat="1" applyFont="1" applyFill="1" applyBorder="1" applyAlignment="1">
      <alignment vertical="center" wrapText="1"/>
    </xf>
    <xf numFmtId="4" fontId="7" fillId="0" borderId="0" xfId="0" applyNumberFormat="1" applyFont="1" applyFill="1" applyBorder="1" applyAlignment="1">
      <alignment horizontal="right" vertical="center" wrapText="1"/>
    </xf>
    <xf numFmtId="3" fontId="4" fillId="0" borderId="0" xfId="0" applyNumberFormat="1" applyFont="1" applyFill="1" applyBorder="1" applyAlignment="1">
      <alignment vertical="center" wrapText="1"/>
    </xf>
    <xf numFmtId="0" fontId="7" fillId="0" borderId="0" xfId="0" applyFont="1" applyFill="1" applyBorder="1" applyAlignment="1">
      <alignment horizontal="center" vertical="top" wrapText="1"/>
    </xf>
    <xf numFmtId="0" fontId="12" fillId="0" borderId="0" xfId="0" applyFont="1" applyFill="1" applyBorder="1" applyAlignment="1">
      <alignment horizontal="center" vertical="top" wrapText="1"/>
    </xf>
    <xf numFmtId="0" fontId="26" fillId="0" borderId="0" xfId="0" applyFont="1" applyAlignment="1">
      <alignment horizontal="center" wrapText="1"/>
    </xf>
    <xf numFmtId="0" fontId="26" fillId="0" borderId="38" xfId="0" applyFont="1" applyBorder="1" applyAlignment="1">
      <alignment horizontal="right" wrapText="1"/>
    </xf>
    <xf numFmtId="164" fontId="26" fillId="0" borderId="81" xfId="0" applyNumberFormat="1" applyFont="1" applyBorder="1" applyAlignment="1">
      <alignment horizontal="left" vertical="center" wrapText="1"/>
    </xf>
    <xf numFmtId="164" fontId="25" fillId="7" borderId="10" xfId="0" applyNumberFormat="1" applyFont="1" applyFill="1" applyBorder="1" applyAlignment="1">
      <alignment vertical="center" wrapText="1"/>
    </xf>
    <xf numFmtId="164" fontId="25" fillId="24" borderId="42" xfId="0" applyNumberFormat="1" applyFont="1" applyFill="1" applyBorder="1" applyAlignment="1">
      <alignment vertical="center" wrapText="1"/>
    </xf>
    <xf numFmtId="0" fontId="26" fillId="24" borderId="51" xfId="0" applyFont="1" applyFill="1" applyBorder="1" applyAlignment="1">
      <alignment wrapText="1"/>
    </xf>
    <xf numFmtId="164" fontId="26" fillId="24" borderId="38" xfId="0" applyNumberFormat="1" applyFont="1" applyFill="1" applyBorder="1" applyAlignment="1">
      <alignment vertical="center" wrapText="1"/>
    </xf>
    <xf numFmtId="164" fontId="25" fillId="24" borderId="68" xfId="0" applyNumberFormat="1" applyFont="1" applyFill="1" applyBorder="1" applyAlignment="1">
      <alignment vertical="center" wrapText="1"/>
    </xf>
    <xf numFmtId="170" fontId="26" fillId="0" borderId="0" xfId="0" applyNumberFormat="1" applyFont="1" applyAlignment="1">
      <alignment horizontal="center" wrapText="1"/>
    </xf>
    <xf numFmtId="165" fontId="25" fillId="0" borderId="11" xfId="0" applyNumberFormat="1" applyFont="1" applyBorder="1" applyAlignment="1">
      <alignment horizontal="center" wrapText="1"/>
    </xf>
    <xf numFmtId="165" fontId="25" fillId="0" borderId="11" xfId="0" applyNumberFormat="1" applyFont="1" applyBorder="1" applyAlignment="1">
      <alignment horizontal="right" wrapText="1"/>
    </xf>
    <xf numFmtId="165" fontId="26" fillId="0" borderId="43" xfId="0" applyNumberFormat="1" applyFont="1" applyBorder="1" applyAlignment="1">
      <alignment horizontal="center" wrapText="1"/>
    </xf>
    <xf numFmtId="165" fontId="26" fillId="0" borderId="43" xfId="0" applyNumberFormat="1" applyFont="1" applyBorder="1" applyAlignment="1">
      <alignment horizontal="right" wrapText="1"/>
    </xf>
    <xf numFmtId="165" fontId="26" fillId="0" borderId="52" xfId="0" applyNumberFormat="1" applyFont="1" applyBorder="1" applyAlignment="1">
      <alignment horizontal="center" wrapText="1"/>
    </xf>
    <xf numFmtId="165" fontId="26" fillId="0" borderId="52" xfId="0" applyNumberFormat="1" applyFont="1" applyBorder="1" applyAlignment="1">
      <alignment horizontal="right" wrapText="1"/>
    </xf>
    <xf numFmtId="165" fontId="26" fillId="0" borderId="52" xfId="0" applyNumberFormat="1" applyFont="1" applyFill="1" applyBorder="1" applyAlignment="1">
      <alignment horizontal="right" wrapText="1"/>
    </xf>
    <xf numFmtId="165" fontId="26" fillId="0" borderId="39" xfId="0" applyNumberFormat="1" applyFont="1" applyBorder="1" applyAlignment="1">
      <alignment horizontal="center" wrapText="1"/>
    </xf>
    <xf numFmtId="165" fontId="26" fillId="0" borderId="39" xfId="0" applyNumberFormat="1" applyFont="1" applyBorder="1" applyAlignment="1">
      <alignment horizontal="right" wrapText="1"/>
    </xf>
    <xf numFmtId="165" fontId="26" fillId="0" borderId="0" xfId="0" applyNumberFormat="1" applyFont="1" applyAlignment="1">
      <alignment horizontal="center" wrapText="1"/>
    </xf>
    <xf numFmtId="165" fontId="26" fillId="0" borderId="0" xfId="0" applyNumberFormat="1" applyFont="1" applyAlignment="1">
      <alignment horizontal="right" wrapText="1"/>
    </xf>
    <xf numFmtId="165" fontId="26" fillId="0" borderId="46" xfId="0" applyNumberFormat="1" applyFont="1" applyBorder="1" applyAlignment="1">
      <alignment horizontal="center" wrapText="1"/>
    </xf>
    <xf numFmtId="165" fontId="26" fillId="0" borderId="47" xfId="0" applyNumberFormat="1" applyFont="1" applyBorder="1" applyAlignment="1">
      <alignment horizontal="right" wrapText="1"/>
    </xf>
    <xf numFmtId="165" fontId="26" fillId="0" borderId="53" xfId="0" applyNumberFormat="1" applyFont="1" applyBorder="1" applyAlignment="1">
      <alignment horizontal="right" wrapText="1"/>
    </xf>
    <xf numFmtId="165" fontId="26" fillId="24" borderId="0" xfId="0" applyNumberFormat="1" applyFont="1" applyFill="1" applyAlignment="1">
      <alignment horizontal="center" vertical="center" wrapText="1"/>
    </xf>
    <xf numFmtId="0" fontId="25" fillId="0" borderId="17" xfId="0" applyFont="1" applyBorder="1" applyAlignment="1">
      <alignment horizontal="left" wrapText="1"/>
    </xf>
    <xf numFmtId="164" fontId="26" fillId="0" borderId="51" xfId="0" applyNumberFormat="1" applyFont="1" applyBorder="1" applyAlignment="1">
      <alignment horizontal="left" vertical="center" wrapText="1"/>
    </xf>
    <xf numFmtId="0" fontId="26" fillId="0" borderId="38" xfId="0" applyFont="1" applyBorder="1" applyAlignment="1">
      <alignment horizontal="left" wrapText="1"/>
    </xf>
    <xf numFmtId="0" fontId="26" fillId="0" borderId="42" xfId="0" applyFont="1" applyBorder="1" applyAlignment="1">
      <alignment horizontal="right" wrapText="1"/>
    </xf>
    <xf numFmtId="0" fontId="25" fillId="0" borderId="10" xfId="0" applyFont="1" applyBorder="1" applyAlignment="1">
      <alignment horizontal="center" wrapText="1"/>
    </xf>
    <xf numFmtId="165" fontId="25" fillId="0" borderId="12" xfId="0" applyNumberFormat="1" applyFont="1" applyBorder="1" applyAlignment="1">
      <alignment horizontal="center" wrapText="1"/>
    </xf>
    <xf numFmtId="164" fontId="4" fillId="24" borderId="40" xfId="0" applyNumberFormat="1" applyFont="1" applyFill="1" applyBorder="1" applyAlignment="1">
      <alignment horizontal="left" vertical="center" wrapText="1"/>
    </xf>
    <xf numFmtId="0" fontId="25" fillId="0" borderId="0" xfId="0" applyFont="1" applyAlignment="1">
      <alignment wrapText="1"/>
    </xf>
    <xf numFmtId="0" fontId="25" fillId="0" borderId="57" xfId="0" applyFont="1" applyBorder="1" applyAlignment="1">
      <alignment horizontal="right" wrapText="1"/>
    </xf>
    <xf numFmtId="165" fontId="25" fillId="0" borderId="58" xfId="0" applyNumberFormat="1" applyFont="1" applyBorder="1" applyAlignment="1">
      <alignment horizontal="center" wrapText="1"/>
    </xf>
    <xf numFmtId="165" fontId="25" fillId="0" borderId="59" xfId="0" applyNumberFormat="1" applyFont="1" applyBorder="1" applyAlignment="1">
      <alignment horizontal="right" wrapText="1"/>
    </xf>
    <xf numFmtId="0" fontId="25" fillId="0" borderId="42" xfId="0" applyFont="1" applyBorder="1" applyAlignment="1">
      <alignment horizontal="left" wrapText="1"/>
    </xf>
    <xf numFmtId="3" fontId="32" fillId="24" borderId="52" xfId="0" applyNumberFormat="1" applyFont="1" applyFill="1" applyBorder="1" applyAlignment="1">
      <alignment horizontal="right" vertical="center"/>
    </xf>
    <xf numFmtId="3" fontId="32" fillId="24" borderId="58" xfId="0" applyNumberFormat="1" applyFont="1" applyFill="1" applyBorder="1" applyAlignment="1">
      <alignment horizontal="right" vertical="center"/>
    </xf>
    <xf numFmtId="3" fontId="11" fillId="24" borderId="51" xfId="0" applyNumberFormat="1" applyFont="1" applyFill="1" applyBorder="1" applyAlignment="1">
      <alignment vertical="center"/>
    </xf>
    <xf numFmtId="3" fontId="11" fillId="24" borderId="52" xfId="0" applyNumberFormat="1" applyFont="1" applyFill="1" applyBorder="1" applyAlignment="1">
      <alignment vertical="center"/>
    </xf>
    <xf numFmtId="3" fontId="11" fillId="24" borderId="57" xfId="0" applyNumberFormat="1" applyFont="1" applyFill="1" applyBorder="1" applyAlignment="1">
      <alignment vertical="center"/>
    </xf>
    <xf numFmtId="3" fontId="11" fillId="24" borderId="58" xfId="0" applyNumberFormat="1" applyFont="1" applyFill="1" applyBorder="1" applyAlignment="1">
      <alignment vertical="center"/>
    </xf>
    <xf numFmtId="3" fontId="13" fillId="0" borderId="13" xfId="0" applyNumberFormat="1" applyFont="1" applyFill="1" applyBorder="1" applyAlignment="1">
      <alignment vertical="center"/>
    </xf>
    <xf numFmtId="3" fontId="13" fillId="0" borderId="13" xfId="0" applyNumberFormat="1" applyFont="1" applyFill="1" applyBorder="1" applyAlignment="1">
      <alignment horizontal="right" vertical="center"/>
    </xf>
    <xf numFmtId="4" fontId="27" fillId="0" borderId="14" xfId="0" applyNumberFormat="1" applyFont="1" applyFill="1" applyBorder="1" applyAlignment="1">
      <alignment horizontal="center" vertical="center" wrapText="1"/>
    </xf>
    <xf numFmtId="4" fontId="16" fillId="22" borderId="13" xfId="0" applyNumberFormat="1" applyFont="1" applyFill="1" applyBorder="1" applyAlignment="1">
      <alignment horizontal="center" vertical="center" wrapText="1"/>
    </xf>
    <xf numFmtId="4" fontId="4" fillId="24" borderId="75" xfId="0" applyNumberFormat="1" applyFont="1" applyFill="1" applyBorder="1" applyAlignment="1">
      <alignment vertical="top" wrapText="1"/>
    </xf>
    <xf numFmtId="164" fontId="4" fillId="0" borderId="75" xfId="0" applyNumberFormat="1" applyFont="1" applyFill="1" applyBorder="1" applyAlignment="1">
      <alignment horizontal="center" vertical="top" wrapText="1"/>
    </xf>
    <xf numFmtId="164" fontId="4" fillId="0" borderId="83" xfId="0" applyNumberFormat="1" applyFont="1" applyFill="1" applyBorder="1" applyAlignment="1">
      <alignment horizontal="center" vertical="top" wrapText="1"/>
    </xf>
    <xf numFmtId="165" fontId="26" fillId="24" borderId="21" xfId="0" applyNumberFormat="1" applyFont="1" applyFill="1" applyBorder="1" applyAlignment="1">
      <alignment horizontal="right" vertical="center" wrapText="1"/>
    </xf>
    <xf numFmtId="165" fontId="3" fillId="24" borderId="21" xfId="0" applyNumberFormat="1" applyFont="1" applyFill="1" applyBorder="1" applyAlignment="1">
      <alignment horizontal="center" vertical="center" wrapText="1"/>
    </xf>
    <xf numFmtId="164" fontId="4" fillId="0" borderId="84" xfId="0" applyNumberFormat="1" applyFont="1" applyFill="1" applyBorder="1" applyAlignment="1">
      <alignment horizontal="center" vertical="top" wrapText="1"/>
    </xf>
    <xf numFmtId="164" fontId="4" fillId="0" borderId="85" xfId="0" applyNumberFormat="1" applyFont="1" applyFill="1" applyBorder="1" applyAlignment="1">
      <alignment horizontal="center" vertical="top" wrapText="1"/>
    </xf>
    <xf numFmtId="164" fontId="4" fillId="0" borderId="86" xfId="0" applyNumberFormat="1" applyFont="1" applyFill="1" applyBorder="1" applyAlignment="1">
      <alignment horizontal="center" vertical="top" wrapText="1"/>
    </xf>
    <xf numFmtId="164" fontId="3" fillId="0" borderId="14" xfId="0" applyNumberFormat="1" applyFont="1" applyBorder="1" applyAlignment="1">
      <alignment horizontal="center" vertical="center" wrapText="1"/>
    </xf>
    <xf numFmtId="164" fontId="3" fillId="0" borderId="18" xfId="0" applyNumberFormat="1" applyFont="1" applyFill="1" applyBorder="1" applyAlignment="1">
      <alignment horizontal="center" vertical="top" wrapText="1"/>
    </xf>
    <xf numFmtId="164" fontId="3" fillId="0" borderId="82" xfId="0" applyNumberFormat="1" applyFont="1" applyFill="1" applyBorder="1" applyAlignment="1">
      <alignment horizontal="center" vertical="top" wrapText="1"/>
    </xf>
    <xf numFmtId="164" fontId="3" fillId="0" borderId="25" xfId="0" applyNumberFormat="1" applyFont="1" applyFill="1" applyBorder="1" applyAlignment="1">
      <alignment horizontal="center" vertical="top" wrapText="1"/>
    </xf>
    <xf numFmtId="164" fontId="3" fillId="0" borderId="63" xfId="0" applyNumberFormat="1" applyFont="1" applyFill="1" applyBorder="1" applyAlignment="1">
      <alignment horizontal="center" vertical="top" wrapText="1"/>
    </xf>
    <xf numFmtId="164" fontId="16" fillId="25" borderId="36" xfId="0" applyNumberFormat="1" applyFont="1" applyFill="1" applyBorder="1" applyAlignment="1">
      <alignment horizontal="center" vertical="top" wrapText="1"/>
    </xf>
    <xf numFmtId="164" fontId="3" fillId="0" borderId="64" xfId="0" applyNumberFormat="1" applyFont="1" applyFill="1" applyBorder="1" applyAlignment="1">
      <alignment horizontal="center" vertical="top" wrapText="1"/>
    </xf>
    <xf numFmtId="0" fontId="0" fillId="0" borderId="0" xfId="0" applyAlignment="1">
      <alignment vertical="center"/>
    </xf>
    <xf numFmtId="3" fontId="6" fillId="20" borderId="14" xfId="0" applyNumberFormat="1" applyFont="1" applyFill="1" applyBorder="1" applyAlignment="1">
      <alignment horizontal="center" vertical="center" wrapText="1"/>
    </xf>
    <xf numFmtId="164" fontId="8" fillId="24" borderId="40" xfId="0" applyNumberFormat="1" applyFont="1" applyFill="1" applyBorder="1" applyAlignment="1">
      <alignment vertical="center" wrapText="1"/>
    </xf>
    <xf numFmtId="3" fontId="11" fillId="22" borderId="80" xfId="0" applyNumberFormat="1" applyFont="1" applyFill="1" applyBorder="1" applyAlignment="1">
      <alignment horizontal="right" vertical="center"/>
    </xf>
    <xf numFmtId="3" fontId="11" fillId="0" borderId="40" xfId="0" applyNumberFormat="1" applyFont="1" applyFill="1" applyBorder="1" applyAlignment="1">
      <alignment horizontal="right" vertical="center"/>
    </xf>
    <xf numFmtId="3" fontId="11" fillId="20" borderId="25" xfId="0" applyNumberFormat="1" applyFont="1" applyFill="1" applyBorder="1" applyAlignment="1">
      <alignment horizontal="right" vertical="center"/>
    </xf>
    <xf numFmtId="164" fontId="14" fillId="22" borderId="42" xfId="0" applyNumberFormat="1" applyFont="1" applyFill="1" applyBorder="1" applyAlignment="1">
      <alignment vertical="center"/>
    </xf>
    <xf numFmtId="164" fontId="14" fillId="25" borderId="43" xfId="0" applyNumberFormat="1" applyFont="1" applyFill="1" applyBorder="1" applyAlignment="1">
      <alignment vertical="center"/>
    </xf>
    <xf numFmtId="164" fontId="14" fillId="24" borderId="20" xfId="0" applyNumberFormat="1" applyFont="1" applyFill="1" applyBorder="1" applyAlignment="1">
      <alignment vertical="center"/>
    </xf>
    <xf numFmtId="164" fontId="13" fillId="24" borderId="22" xfId="0" applyNumberFormat="1" applyFont="1" applyFill="1" applyBorder="1" applyAlignment="1">
      <alignment vertical="center" wrapText="1"/>
    </xf>
    <xf numFmtId="3" fontId="13" fillId="22" borderId="14" xfId="0" applyNumberFormat="1" applyFont="1" applyFill="1" applyBorder="1" applyAlignment="1">
      <alignment vertical="center"/>
    </xf>
    <xf numFmtId="3" fontId="13" fillId="20" borderId="22" xfId="0" applyNumberFormat="1" applyFont="1" applyFill="1" applyBorder="1" applyAlignment="1">
      <alignment horizontal="right" vertical="center"/>
    </xf>
    <xf numFmtId="10" fontId="13" fillId="24" borderId="10" xfId="0" applyNumberFormat="1" applyFont="1" applyFill="1" applyBorder="1" applyAlignment="1">
      <alignment horizontal="right" vertical="center"/>
    </xf>
    <xf numFmtId="3" fontId="13" fillId="0" borderId="24" xfId="0" applyNumberFormat="1" applyFont="1" applyFill="1" applyBorder="1" applyAlignment="1">
      <alignment vertical="center"/>
    </xf>
    <xf numFmtId="4" fontId="5" fillId="7" borderId="14" xfId="0" applyNumberFormat="1" applyFont="1" applyFill="1" applyBorder="1" applyAlignment="1">
      <alignment vertical="center"/>
    </xf>
    <xf numFmtId="3" fontId="13" fillId="0" borderId="23" xfId="0" applyNumberFormat="1" applyFont="1" applyFill="1" applyBorder="1" applyAlignment="1">
      <alignment vertical="center"/>
    </xf>
    <xf numFmtId="3" fontId="13" fillId="0" borderId="10" xfId="0" applyNumberFormat="1" applyFont="1" applyFill="1" applyBorder="1" applyAlignment="1">
      <alignment vertical="center"/>
    </xf>
    <xf numFmtId="0" fontId="13" fillId="0" borderId="0" xfId="0" applyFont="1" applyAlignment="1">
      <alignment vertical="center"/>
    </xf>
    <xf numFmtId="164" fontId="2" fillId="22" borderId="17" xfId="0" applyNumberFormat="1" applyFont="1" applyFill="1" applyBorder="1" applyAlignment="1">
      <alignment vertical="center"/>
    </xf>
    <xf numFmtId="164" fontId="2" fillId="25" borderId="79" xfId="0" applyNumberFormat="1" applyFont="1" applyFill="1" applyBorder="1" applyAlignment="1">
      <alignment vertical="center"/>
    </xf>
    <xf numFmtId="164" fontId="1" fillId="24" borderId="16" xfId="0" applyNumberFormat="1" applyFont="1" applyFill="1" applyBorder="1" applyAlignment="1">
      <alignment vertical="center"/>
    </xf>
    <xf numFmtId="164" fontId="3" fillId="24" borderId="13" xfId="0" applyNumberFormat="1" applyFont="1" applyFill="1" applyBorder="1" applyAlignment="1">
      <alignment horizontal="center" vertical="center" wrapText="1"/>
    </xf>
    <xf numFmtId="3" fontId="3" fillId="20" borderId="22" xfId="0" applyNumberFormat="1" applyFont="1" applyFill="1" applyBorder="1" applyAlignment="1">
      <alignment horizontal="right" vertical="center"/>
    </xf>
    <xf numFmtId="10" fontId="4" fillId="24" borderId="17" xfId="0" applyNumberFormat="1" applyFont="1" applyFill="1" applyBorder="1" applyAlignment="1">
      <alignment horizontal="right" vertical="center"/>
    </xf>
    <xf numFmtId="3" fontId="4" fillId="0" borderId="70" xfId="0" applyNumberFormat="1" applyFont="1" applyFill="1" applyBorder="1" applyAlignment="1">
      <alignment vertical="center"/>
    </xf>
    <xf numFmtId="4" fontId="3" fillId="0" borderId="37" xfId="0" applyNumberFormat="1" applyFont="1" applyFill="1" applyBorder="1" applyAlignment="1">
      <alignment vertical="center"/>
    </xf>
    <xf numFmtId="3" fontId="4" fillId="0" borderId="15" xfId="0" applyNumberFormat="1" applyFont="1" applyFill="1" applyBorder="1" applyAlignment="1">
      <alignment vertical="center"/>
    </xf>
    <xf numFmtId="4" fontId="3" fillId="0" borderId="14" xfId="0" applyNumberFormat="1" applyFont="1" applyBorder="1" applyAlignment="1">
      <alignment vertical="center"/>
    </xf>
    <xf numFmtId="164" fontId="4" fillId="0" borderId="13" xfId="53" applyNumberFormat="1" applyFont="1" applyFill="1" applyBorder="1" applyAlignment="1">
      <alignment horizontal="right" vertical="center" wrapText="1"/>
      <protection/>
    </xf>
    <xf numFmtId="3" fontId="56" fillId="20" borderId="14" xfId="0" applyNumberFormat="1" applyFont="1" applyFill="1" applyBorder="1" applyAlignment="1">
      <alignment horizontal="right" vertical="center"/>
    </xf>
    <xf numFmtId="10" fontId="19" fillId="24" borderId="42" xfId="0" applyNumberFormat="1" applyFont="1" applyFill="1" applyBorder="1" applyAlignment="1">
      <alignment vertical="center"/>
    </xf>
    <xf numFmtId="164" fontId="19" fillId="24" borderId="43" xfId="0" applyNumberFormat="1" applyFont="1" applyFill="1" applyBorder="1" applyAlignment="1">
      <alignment horizontal="right" vertical="center"/>
    </xf>
    <xf numFmtId="4" fontId="19" fillId="24" borderId="71" xfId="0" applyNumberFormat="1" applyFont="1" applyFill="1" applyBorder="1" applyAlignment="1">
      <alignment horizontal="right" vertical="center"/>
    </xf>
    <xf numFmtId="10" fontId="19" fillId="24" borderId="42" xfId="0" applyNumberFormat="1" applyFont="1" applyFill="1" applyBorder="1" applyAlignment="1">
      <alignment horizontal="right" vertical="center"/>
    </xf>
    <xf numFmtId="4" fontId="56" fillId="24" borderId="24" xfId="0" applyNumberFormat="1" applyFont="1" applyFill="1" applyBorder="1" applyAlignment="1">
      <alignment horizontal="right" vertical="center"/>
    </xf>
    <xf numFmtId="4" fontId="3" fillId="0" borderId="14" xfId="0" applyNumberFormat="1" applyFont="1" applyFill="1" applyBorder="1" applyAlignment="1">
      <alignment vertical="center"/>
    </xf>
    <xf numFmtId="164" fontId="4" fillId="0" borderId="13" xfId="0" applyNumberFormat="1" applyFont="1" applyFill="1" applyBorder="1" applyAlignment="1">
      <alignment horizontal="right" vertical="center" wrapText="1"/>
    </xf>
    <xf numFmtId="3" fontId="4" fillId="22" borderId="14" xfId="0" applyNumberFormat="1" applyFont="1" applyFill="1" applyBorder="1" applyAlignment="1">
      <alignment horizontal="right" vertical="center"/>
    </xf>
    <xf numFmtId="3" fontId="4" fillId="0" borderId="13" xfId="0" applyNumberFormat="1" applyFont="1" applyFill="1" applyBorder="1" applyAlignment="1">
      <alignment horizontal="right" vertical="center"/>
    </xf>
    <xf numFmtId="4" fontId="56" fillId="0" borderId="14" xfId="0" applyNumberFormat="1" applyFont="1" applyFill="1" applyBorder="1" applyAlignment="1">
      <alignment horizontal="right" vertical="center"/>
    </xf>
    <xf numFmtId="3" fontId="3" fillId="20" borderId="14" xfId="0" applyNumberFormat="1" applyFont="1" applyFill="1" applyBorder="1" applyAlignment="1">
      <alignment horizontal="right" vertical="center"/>
    </xf>
    <xf numFmtId="3" fontId="3" fillId="0" borderId="13" xfId="0" applyNumberFormat="1" applyFont="1" applyFill="1" applyBorder="1" applyAlignment="1">
      <alignment horizontal="right" vertical="center"/>
    </xf>
    <xf numFmtId="164" fontId="16" fillId="0" borderId="21" xfId="0" applyNumberFormat="1" applyFont="1" applyFill="1" applyBorder="1" applyAlignment="1">
      <alignment horizontal="right" vertical="center"/>
    </xf>
    <xf numFmtId="4" fontId="16" fillId="7" borderId="14" xfId="0" applyNumberFormat="1" applyFont="1" applyFill="1" applyBorder="1" applyAlignment="1">
      <alignment horizontal="right" vertical="center"/>
    </xf>
    <xf numFmtId="10" fontId="16" fillId="0" borderId="13" xfId="0" applyNumberFormat="1" applyFont="1" applyFill="1" applyBorder="1" applyAlignment="1">
      <alignment horizontal="right" vertical="center"/>
    </xf>
    <xf numFmtId="164" fontId="16" fillId="0" borderId="13" xfId="0" applyNumberFormat="1" applyFont="1" applyFill="1" applyBorder="1" applyAlignment="1">
      <alignment horizontal="right" vertical="center"/>
    </xf>
    <xf numFmtId="3" fontId="3" fillId="22" borderId="30" xfId="0" applyNumberFormat="1" applyFont="1" applyFill="1" applyBorder="1" applyAlignment="1">
      <alignment horizontal="right" vertical="center"/>
    </xf>
    <xf numFmtId="3" fontId="3" fillId="0" borderId="29" xfId="0" applyNumberFormat="1" applyFont="1" applyFill="1" applyBorder="1" applyAlignment="1">
      <alignment horizontal="right" vertical="center"/>
    </xf>
    <xf numFmtId="3" fontId="3" fillId="20" borderId="78" xfId="0" applyNumberFormat="1" applyFont="1" applyFill="1" applyBorder="1" applyAlignment="1">
      <alignment vertical="center"/>
    </xf>
    <xf numFmtId="4" fontId="3" fillId="0" borderId="21" xfId="0" applyNumberFormat="1" applyFont="1" applyFill="1" applyBorder="1" applyAlignment="1">
      <alignment vertical="center"/>
    </xf>
    <xf numFmtId="164" fontId="3" fillId="0" borderId="12" xfId="0" applyNumberFormat="1" applyFont="1" applyFill="1" applyBorder="1" applyAlignment="1">
      <alignment horizontal="right" vertical="center"/>
    </xf>
    <xf numFmtId="4" fontId="3" fillId="0" borderId="13" xfId="0" applyNumberFormat="1" applyFont="1" applyFill="1" applyBorder="1" applyAlignment="1">
      <alignment horizontal="right" vertical="center"/>
    </xf>
    <xf numFmtId="10" fontId="3" fillId="0" borderId="10" xfId="0" applyNumberFormat="1" applyFont="1" applyFill="1" applyBorder="1" applyAlignment="1">
      <alignment horizontal="right" vertical="center"/>
    </xf>
    <xf numFmtId="164" fontId="3" fillId="0" borderId="11" xfId="0" applyNumberFormat="1" applyFont="1" applyFill="1" applyBorder="1" applyAlignment="1">
      <alignment horizontal="right" vertical="center"/>
    </xf>
    <xf numFmtId="4" fontId="3" fillId="0" borderId="24" xfId="0" applyNumberFormat="1" applyFont="1" applyFill="1" applyBorder="1" applyAlignment="1">
      <alignment horizontal="right" vertical="center"/>
    </xf>
    <xf numFmtId="4" fontId="4" fillId="0" borderId="12" xfId="0" applyNumberFormat="1" applyFont="1" applyFill="1" applyBorder="1" applyAlignment="1">
      <alignment vertical="center"/>
    </xf>
    <xf numFmtId="3" fontId="4" fillId="22" borderId="81" xfId="0" applyNumberFormat="1" applyFont="1" applyFill="1" applyBorder="1" applyAlignment="1">
      <alignment horizontal="right" vertical="center"/>
    </xf>
    <xf numFmtId="3" fontId="4" fillId="0" borderId="81" xfId="0" applyNumberFormat="1" applyFont="1" applyFill="1" applyBorder="1" applyAlignment="1">
      <alignment horizontal="right" vertical="center"/>
    </xf>
    <xf numFmtId="3" fontId="3" fillId="20" borderId="81" xfId="0" applyNumberFormat="1" applyFont="1" applyFill="1" applyBorder="1" applyAlignment="1">
      <alignment horizontal="right" vertical="center"/>
    </xf>
    <xf numFmtId="3" fontId="3" fillId="22" borderId="82" xfId="0" applyNumberFormat="1" applyFont="1" applyFill="1" applyBorder="1" applyAlignment="1">
      <alignment vertical="center"/>
    </xf>
    <xf numFmtId="3" fontId="3" fillId="0" borderId="82" xfId="0" applyNumberFormat="1" applyFont="1" applyFill="1" applyBorder="1" applyAlignment="1">
      <alignment vertical="center"/>
    </xf>
    <xf numFmtId="3" fontId="3" fillId="20" borderId="82" xfId="0" applyNumberFormat="1" applyFont="1" applyFill="1" applyBorder="1" applyAlignment="1">
      <alignment horizontal="right" vertical="center"/>
    </xf>
    <xf numFmtId="3" fontId="4" fillId="22" borderId="82" xfId="0" applyNumberFormat="1" applyFont="1" applyFill="1" applyBorder="1" applyAlignment="1">
      <alignment vertical="center"/>
    </xf>
    <xf numFmtId="3" fontId="4" fillId="0" borderId="82" xfId="0" applyNumberFormat="1" applyFont="1" applyFill="1" applyBorder="1" applyAlignment="1">
      <alignment vertical="center"/>
    </xf>
    <xf numFmtId="3" fontId="4" fillId="22" borderId="82" xfId="0" applyNumberFormat="1" applyFont="1" applyFill="1" applyBorder="1" applyAlignment="1">
      <alignment horizontal="right" vertical="center"/>
    </xf>
    <xf numFmtId="3" fontId="4" fillId="0" borderId="82" xfId="0" applyNumberFormat="1" applyFont="1" applyFill="1" applyBorder="1" applyAlignment="1">
      <alignment horizontal="right" vertical="center"/>
    </xf>
    <xf numFmtId="3" fontId="11" fillId="22" borderId="82" xfId="0" applyNumberFormat="1" applyFont="1" applyFill="1" applyBorder="1" applyAlignment="1">
      <alignment vertical="center"/>
    </xf>
    <xf numFmtId="3" fontId="11" fillId="0" borderId="82" xfId="0" applyNumberFormat="1" applyFont="1" applyFill="1" applyBorder="1" applyAlignment="1">
      <alignment vertical="center"/>
    </xf>
    <xf numFmtId="3" fontId="11" fillId="20" borderId="82" xfId="0" applyNumberFormat="1" applyFont="1" applyFill="1" applyBorder="1" applyAlignment="1">
      <alignment horizontal="center" vertical="center"/>
    </xf>
    <xf numFmtId="3" fontId="4" fillId="22" borderId="80" xfId="0" applyNumberFormat="1" applyFont="1" applyFill="1" applyBorder="1" applyAlignment="1">
      <alignment vertical="center"/>
    </xf>
    <xf numFmtId="3" fontId="4" fillId="0" borderId="80" xfId="0" applyNumberFormat="1" applyFont="1" applyFill="1" applyBorder="1" applyAlignment="1">
      <alignment vertical="center"/>
    </xf>
    <xf numFmtId="3" fontId="3" fillId="20" borderId="80" xfId="0" applyNumberFormat="1" applyFont="1" applyFill="1" applyBorder="1" applyAlignment="1">
      <alignment horizontal="right" vertical="center"/>
    </xf>
    <xf numFmtId="164" fontId="14" fillId="26" borderId="34" xfId="0" applyNumberFormat="1" applyFont="1" applyFill="1" applyBorder="1" applyAlignment="1">
      <alignment vertical="center"/>
    </xf>
    <xf numFmtId="164" fontId="14" fillId="26" borderId="33" xfId="0" applyNumberFormat="1" applyFont="1" applyFill="1" applyBorder="1" applyAlignment="1">
      <alignment vertical="center"/>
    </xf>
    <xf numFmtId="164" fontId="15" fillId="26" borderId="30" xfId="0" applyNumberFormat="1" applyFont="1" applyFill="1" applyBorder="1" applyAlignment="1">
      <alignment vertical="center"/>
    </xf>
    <xf numFmtId="164" fontId="13" fillId="6" borderId="22" xfId="0" applyNumberFormat="1" applyFont="1" applyFill="1" applyBorder="1" applyAlignment="1">
      <alignment vertical="center" wrapText="1"/>
    </xf>
    <xf numFmtId="3" fontId="13" fillId="0" borderId="30" xfId="0" applyNumberFormat="1" applyFont="1" applyFill="1" applyBorder="1" applyAlignment="1">
      <alignment vertical="center"/>
    </xf>
    <xf numFmtId="3" fontId="3" fillId="0" borderId="30" xfId="0" applyNumberFormat="1" applyFont="1" applyFill="1" applyBorder="1" applyAlignment="1">
      <alignment vertical="center"/>
    </xf>
    <xf numFmtId="3" fontId="7" fillId="20" borderId="74" xfId="0" applyNumberFormat="1" applyFont="1" applyFill="1" applyBorder="1" applyAlignment="1">
      <alignment horizontal="right" vertical="center"/>
    </xf>
    <xf numFmtId="10" fontId="3" fillId="24" borderId="42" xfId="0" applyNumberFormat="1" applyFont="1" applyFill="1" applyBorder="1" applyAlignment="1">
      <alignment vertical="center"/>
    </xf>
    <xf numFmtId="3" fontId="7" fillId="20" borderId="75" xfId="0" applyNumberFormat="1" applyFont="1" applyFill="1" applyBorder="1" applyAlignment="1">
      <alignment vertical="center"/>
    </xf>
    <xf numFmtId="10" fontId="4" fillId="24" borderId="42" xfId="0" applyNumberFormat="1" applyFont="1" applyFill="1" applyBorder="1" applyAlignment="1">
      <alignment vertical="center"/>
    </xf>
    <xf numFmtId="3" fontId="3" fillId="20" borderId="74" xfId="0" applyNumberFormat="1" applyFont="1" applyFill="1" applyBorder="1" applyAlignment="1">
      <alignment horizontal="right" vertical="center"/>
    </xf>
    <xf numFmtId="3" fontId="7" fillId="20" borderId="75" xfId="0" applyNumberFormat="1" applyFont="1" applyFill="1" applyBorder="1" applyAlignment="1">
      <alignment horizontal="right" vertical="center"/>
    </xf>
    <xf numFmtId="3" fontId="56" fillId="20" borderId="74" xfId="0" applyNumberFormat="1" applyFont="1" applyFill="1" applyBorder="1" applyAlignment="1">
      <alignment horizontal="right" vertical="center"/>
    </xf>
    <xf numFmtId="3" fontId="4" fillId="0" borderId="30" xfId="0" applyNumberFormat="1" applyFont="1" applyFill="1" applyBorder="1" applyAlignment="1">
      <alignment vertical="center"/>
    </xf>
    <xf numFmtId="3" fontId="7" fillId="20" borderId="29" xfId="0" applyNumberFormat="1" applyFont="1" applyFill="1" applyBorder="1" applyAlignment="1">
      <alignment horizontal="right" vertical="center"/>
    </xf>
    <xf numFmtId="164" fontId="2" fillId="22" borderId="22" xfId="0" applyNumberFormat="1" applyFont="1" applyFill="1" applyBorder="1" applyAlignment="1">
      <alignment vertical="center" wrapText="1"/>
    </xf>
    <xf numFmtId="10" fontId="3" fillId="22" borderId="22" xfId="0" applyNumberFormat="1" applyFont="1" applyFill="1" applyBorder="1" applyAlignment="1">
      <alignment vertical="center"/>
    </xf>
    <xf numFmtId="3" fontId="3" fillId="0" borderId="87" xfId="0" applyNumberFormat="1" applyFont="1" applyFill="1" applyBorder="1" applyAlignment="1">
      <alignment horizontal="right" vertical="center"/>
    </xf>
    <xf numFmtId="164" fontId="4" fillId="26" borderId="51" xfId="0" applyNumberFormat="1" applyFont="1" applyFill="1" applyBorder="1" applyAlignment="1">
      <alignment vertical="center"/>
    </xf>
    <xf numFmtId="49" fontId="18" fillId="0" borderId="56" xfId="0" applyNumberFormat="1" applyFont="1" applyBorder="1" applyAlignment="1">
      <alignment horizontal="right" vertical="center" wrapText="1"/>
    </xf>
    <xf numFmtId="3" fontId="3" fillId="0" borderId="48" xfId="0" applyNumberFormat="1" applyFont="1" applyFill="1" applyBorder="1" applyAlignment="1">
      <alignment horizontal="right" vertical="center"/>
    </xf>
    <xf numFmtId="49" fontId="18" fillId="0" borderId="54" xfId="0" applyNumberFormat="1" applyFont="1" applyBorder="1" applyAlignment="1">
      <alignment horizontal="right" vertical="center" wrapText="1"/>
    </xf>
    <xf numFmtId="3" fontId="56" fillId="20" borderId="75" xfId="0" applyNumberFormat="1" applyFont="1" applyFill="1" applyBorder="1" applyAlignment="1">
      <alignment horizontal="right" vertical="center"/>
    </xf>
    <xf numFmtId="3" fontId="3" fillId="0" borderId="85" xfId="0" applyNumberFormat="1" applyFont="1" applyFill="1" applyBorder="1" applyAlignment="1">
      <alignment horizontal="right" vertical="center"/>
    </xf>
    <xf numFmtId="10" fontId="4" fillId="24" borderId="75" xfId="0" applyNumberFormat="1" applyFont="1" applyFill="1" applyBorder="1" applyAlignment="1">
      <alignment vertical="center"/>
    </xf>
    <xf numFmtId="164" fontId="4" fillId="7" borderId="53" xfId="0" applyNumberFormat="1" applyFont="1" applyFill="1" applyBorder="1" applyAlignment="1">
      <alignment vertical="center"/>
    </xf>
    <xf numFmtId="164" fontId="18" fillId="0" borderId="54" xfId="0" applyNumberFormat="1" applyFont="1" applyFill="1" applyBorder="1" applyAlignment="1">
      <alignment horizontal="right" vertical="center" wrapText="1"/>
    </xf>
    <xf numFmtId="10" fontId="4" fillId="24" borderId="17" xfId="0" applyNumberFormat="1" applyFont="1" applyFill="1" applyBorder="1" applyAlignment="1">
      <alignment vertical="center"/>
    </xf>
    <xf numFmtId="164" fontId="4" fillId="24" borderId="79" xfId="0" applyNumberFormat="1" applyFont="1" applyFill="1" applyBorder="1" applyAlignment="1">
      <alignment horizontal="right" vertical="center"/>
    </xf>
    <xf numFmtId="4" fontId="4" fillId="24" borderId="70" xfId="0" applyNumberFormat="1" applyFont="1" applyFill="1" applyBorder="1" applyAlignment="1">
      <alignment horizontal="right" vertical="center"/>
    </xf>
    <xf numFmtId="164" fontId="1" fillId="24" borderId="54" xfId="0" applyNumberFormat="1" applyFont="1" applyFill="1" applyBorder="1" applyAlignment="1">
      <alignment vertical="center" wrapText="1"/>
    </xf>
    <xf numFmtId="10" fontId="7" fillId="24" borderId="42" xfId="0" applyNumberFormat="1" applyFont="1" applyFill="1" applyBorder="1" applyAlignment="1">
      <alignment vertical="center"/>
    </xf>
    <xf numFmtId="4" fontId="12" fillId="24" borderId="20" xfId="0" applyNumberFormat="1" applyFont="1" applyFill="1" applyBorder="1" applyAlignment="1">
      <alignment vertical="center"/>
    </xf>
    <xf numFmtId="10" fontId="7" fillId="24" borderId="19" xfId="0" applyNumberFormat="1" applyFont="1" applyFill="1" applyBorder="1" applyAlignment="1">
      <alignment vertical="center"/>
    </xf>
    <xf numFmtId="164" fontId="12" fillId="24" borderId="43" xfId="0" applyNumberFormat="1" applyFont="1" applyFill="1" applyBorder="1" applyAlignment="1">
      <alignment vertical="center"/>
    </xf>
    <xf numFmtId="10" fontId="7" fillId="24" borderId="57" xfId="0" applyNumberFormat="1" applyFont="1" applyFill="1" applyBorder="1" applyAlignment="1">
      <alignment vertical="center"/>
    </xf>
    <xf numFmtId="164" fontId="3" fillId="24" borderId="11" xfId="0" applyNumberFormat="1" applyFont="1" applyFill="1" applyBorder="1" applyAlignment="1">
      <alignment horizontal="right" vertical="center"/>
    </xf>
    <xf numFmtId="4" fontId="12" fillId="24" borderId="59" xfId="0" applyNumberFormat="1" applyFont="1" applyFill="1" applyBorder="1" applyAlignment="1">
      <alignment vertical="center"/>
    </xf>
    <xf numFmtId="10" fontId="7" fillId="24" borderId="61" xfId="0" applyNumberFormat="1" applyFont="1" applyFill="1" applyBorder="1" applyAlignment="1">
      <alignment vertical="center"/>
    </xf>
    <xf numFmtId="164" fontId="12" fillId="24" borderId="58" xfId="0" applyNumberFormat="1" applyFont="1" applyFill="1" applyBorder="1" applyAlignment="1">
      <alignment vertical="center"/>
    </xf>
    <xf numFmtId="10" fontId="3" fillId="24" borderId="45" xfId="0" applyNumberFormat="1" applyFont="1" applyFill="1" applyBorder="1" applyAlignment="1">
      <alignment vertical="center"/>
    </xf>
    <xf numFmtId="4" fontId="3" fillId="24" borderId="50" xfId="0" applyNumberFormat="1" applyFont="1" applyFill="1" applyBorder="1" applyAlignment="1">
      <alignment horizontal="right" vertical="center"/>
    </xf>
    <xf numFmtId="10" fontId="3" fillId="24" borderId="45" xfId="0" applyNumberFormat="1" applyFont="1" applyFill="1" applyBorder="1" applyAlignment="1">
      <alignment horizontal="right" vertical="center"/>
    </xf>
    <xf numFmtId="164" fontId="4" fillId="0" borderId="54" xfId="53" applyNumberFormat="1" applyFont="1" applyBorder="1" applyAlignment="1">
      <alignment vertical="center" wrapText="1"/>
      <protection/>
    </xf>
    <xf numFmtId="164" fontId="18" fillId="0" borderId="54" xfId="53" applyNumberFormat="1" applyFont="1" applyBorder="1" applyAlignment="1">
      <alignment horizontal="right" vertical="center" wrapText="1"/>
      <protection/>
    </xf>
    <xf numFmtId="166" fontId="18" fillId="24" borderId="54" xfId="0" applyNumberFormat="1" applyFont="1" applyFill="1" applyBorder="1" applyAlignment="1">
      <alignment horizontal="right" vertical="center" wrapText="1"/>
    </xf>
    <xf numFmtId="166" fontId="16" fillId="11" borderId="54" xfId="0" applyNumberFormat="1" applyFont="1" applyFill="1" applyBorder="1" applyAlignment="1">
      <alignment horizontal="right" vertical="center" wrapText="1"/>
    </xf>
    <xf numFmtId="3" fontId="3" fillId="11" borderId="14" xfId="0" applyNumberFormat="1" applyFont="1" applyFill="1" applyBorder="1" applyAlignment="1">
      <alignment vertical="center"/>
    </xf>
    <xf numFmtId="3" fontId="3" fillId="24" borderId="30" xfId="0" applyNumberFormat="1" applyFont="1" applyFill="1" applyBorder="1" applyAlignment="1">
      <alignment vertical="center"/>
    </xf>
    <xf numFmtId="3" fontId="16" fillId="11" borderId="74" xfId="0" applyNumberFormat="1" applyFont="1" applyFill="1" applyBorder="1" applyAlignment="1">
      <alignment horizontal="right" vertical="center"/>
    </xf>
    <xf numFmtId="3" fontId="3" fillId="20" borderId="75" xfId="0" applyNumberFormat="1" applyFont="1" applyFill="1" applyBorder="1" applyAlignment="1">
      <alignment horizontal="right" vertical="center"/>
    </xf>
    <xf numFmtId="164" fontId="2" fillId="22" borderId="13" xfId="0" applyNumberFormat="1" applyFont="1" applyFill="1" applyBorder="1" applyAlignment="1">
      <alignment vertical="center" wrapText="1"/>
    </xf>
    <xf numFmtId="3" fontId="3" fillId="0" borderId="14" xfId="0" applyNumberFormat="1" applyFont="1" applyFill="1" applyBorder="1" applyAlignment="1">
      <alignment vertical="center" wrapText="1"/>
    </xf>
    <xf numFmtId="10" fontId="3" fillId="22" borderId="0" xfId="0" applyNumberFormat="1" applyFont="1" applyFill="1" applyBorder="1" applyAlignment="1">
      <alignment vertical="center" wrapText="1"/>
    </xf>
    <xf numFmtId="3" fontId="56" fillId="20" borderId="29" xfId="0" applyNumberFormat="1" applyFont="1" applyFill="1" applyBorder="1" applyAlignment="1">
      <alignment horizontal="right" vertical="center"/>
    </xf>
    <xf numFmtId="164" fontId="2" fillId="26" borderId="51" xfId="0" applyNumberFormat="1" applyFont="1" applyFill="1" applyBorder="1" applyAlignment="1">
      <alignment vertical="center"/>
    </xf>
    <xf numFmtId="164" fontId="2" fillId="22" borderId="52" xfId="0" applyNumberFormat="1" applyFont="1" applyFill="1" applyBorder="1" applyAlignment="1">
      <alignment vertical="center"/>
    </xf>
    <xf numFmtId="164" fontId="2" fillId="7" borderId="56" xfId="0" applyNumberFormat="1" applyFont="1" applyFill="1" applyBorder="1" applyAlignment="1">
      <alignment vertical="center"/>
    </xf>
    <xf numFmtId="164" fontId="2" fillId="22" borderId="14" xfId="0" applyNumberFormat="1" applyFont="1" applyFill="1" applyBorder="1" applyAlignment="1">
      <alignment vertical="center" wrapText="1"/>
    </xf>
    <xf numFmtId="3" fontId="3" fillId="22" borderId="21" xfId="0" applyNumberFormat="1" applyFont="1" applyFill="1" applyBorder="1" applyAlignment="1">
      <alignment vertical="center" wrapText="1"/>
    </xf>
    <xf numFmtId="164" fontId="18" fillId="24" borderId="81" xfId="0" applyNumberFormat="1" applyFont="1" applyFill="1" applyBorder="1" applyAlignment="1">
      <alignment horizontal="right" vertical="center" wrapText="1"/>
    </xf>
    <xf numFmtId="3" fontId="7" fillId="20" borderId="18" xfId="0" applyNumberFormat="1" applyFont="1" applyFill="1" applyBorder="1" applyAlignment="1">
      <alignment horizontal="right" vertical="center"/>
    </xf>
    <xf numFmtId="164" fontId="18" fillId="24" borderId="82" xfId="0" applyNumberFormat="1" applyFont="1" applyFill="1" applyBorder="1" applyAlignment="1">
      <alignment horizontal="right" vertical="center" wrapText="1"/>
    </xf>
    <xf numFmtId="3" fontId="7" fillId="20" borderId="82" xfId="0" applyNumberFormat="1" applyFont="1" applyFill="1" applyBorder="1" applyAlignment="1">
      <alignment horizontal="right" vertical="center"/>
    </xf>
    <xf numFmtId="164" fontId="1" fillId="26" borderId="38" xfId="0" applyNumberFormat="1" applyFont="1" applyFill="1" applyBorder="1" applyAlignment="1">
      <alignment vertical="center"/>
    </xf>
    <xf numFmtId="164" fontId="1" fillId="24" borderId="39" xfId="0" applyNumberFormat="1" applyFont="1" applyFill="1" applyBorder="1" applyAlignment="1">
      <alignment vertical="center"/>
    </xf>
    <xf numFmtId="164" fontId="1" fillId="7" borderId="41" xfId="0" applyNumberFormat="1" applyFont="1" applyFill="1" applyBorder="1" applyAlignment="1">
      <alignment vertical="center"/>
    </xf>
    <xf numFmtId="164" fontId="18" fillId="24" borderId="78" xfId="0" applyNumberFormat="1" applyFont="1" applyFill="1" applyBorder="1" applyAlignment="1">
      <alignment horizontal="right" vertical="center" wrapText="1"/>
    </xf>
    <xf numFmtId="3" fontId="7" fillId="20" borderId="78" xfId="0" applyNumberFormat="1" applyFont="1" applyFill="1" applyBorder="1" applyAlignment="1">
      <alignment horizontal="right" vertical="center"/>
    </xf>
    <xf numFmtId="3" fontId="3" fillId="26" borderId="14" xfId="0" applyNumberFormat="1" applyFont="1" applyFill="1" applyBorder="1" applyAlignment="1">
      <alignment vertical="center"/>
    </xf>
    <xf numFmtId="3" fontId="59" fillId="26" borderId="14" xfId="0" applyNumberFormat="1" applyFont="1" applyFill="1" applyBorder="1" applyAlignment="1">
      <alignment horizontal="right" vertical="center"/>
    </xf>
    <xf numFmtId="10" fontId="19" fillId="6" borderId="42" xfId="0" applyNumberFormat="1" applyFont="1" applyFill="1" applyBorder="1" applyAlignment="1">
      <alignment vertical="center"/>
    </xf>
    <xf numFmtId="164" fontId="19" fillId="6" borderId="43" xfId="0" applyNumberFormat="1" applyFont="1" applyFill="1" applyBorder="1" applyAlignment="1">
      <alignment horizontal="right" vertical="center"/>
    </xf>
    <xf numFmtId="4" fontId="19" fillId="6" borderId="71" xfId="0" applyNumberFormat="1" applyFont="1" applyFill="1" applyBorder="1" applyAlignment="1">
      <alignment horizontal="right" vertical="center"/>
    </xf>
    <xf numFmtId="10" fontId="19" fillId="6" borderId="42" xfId="0" applyNumberFormat="1" applyFont="1" applyFill="1" applyBorder="1" applyAlignment="1">
      <alignment horizontal="right" vertical="center"/>
    </xf>
    <xf numFmtId="4" fontId="3" fillId="6" borderId="24" xfId="0" applyNumberFormat="1" applyFont="1" applyFill="1" applyBorder="1" applyAlignment="1">
      <alignment horizontal="right" vertical="center"/>
    </xf>
    <xf numFmtId="0" fontId="4" fillId="6" borderId="10" xfId="0" applyFont="1" applyFill="1" applyBorder="1" applyAlignment="1">
      <alignment vertical="center"/>
    </xf>
    <xf numFmtId="0" fontId="4" fillId="6" borderId="11" xfId="0" applyFont="1" applyFill="1" applyBorder="1" applyAlignment="1">
      <alignment vertical="center"/>
    </xf>
    <xf numFmtId="4" fontId="4" fillId="6" borderId="12" xfId="0" applyNumberFormat="1" applyFont="1" applyFill="1" applyBorder="1" applyAlignment="1">
      <alignment vertical="center"/>
    </xf>
    <xf numFmtId="3" fontId="57" fillId="22" borderId="22" xfId="0" applyNumberFormat="1" applyFont="1" applyFill="1" applyBorder="1" applyAlignment="1">
      <alignment horizontal="right" vertical="center"/>
    </xf>
    <xf numFmtId="3" fontId="3" fillId="0" borderId="78" xfId="0" applyNumberFormat="1" applyFont="1" applyFill="1" applyBorder="1" applyAlignment="1">
      <alignment vertical="center"/>
    </xf>
    <xf numFmtId="3" fontId="3" fillId="20" borderId="65" xfId="0" applyNumberFormat="1" applyFont="1" applyFill="1" applyBorder="1" applyAlignment="1">
      <alignment horizontal="right" vertical="center"/>
    </xf>
    <xf numFmtId="3" fontId="3" fillId="0" borderId="36" xfId="0" applyNumberFormat="1" applyFont="1" applyFill="1" applyBorder="1" applyAlignment="1">
      <alignment vertical="center"/>
    </xf>
    <xf numFmtId="3" fontId="3" fillId="20" borderId="63" xfId="0" applyNumberFormat="1" applyFont="1" applyFill="1" applyBorder="1" applyAlignment="1">
      <alignment horizontal="right" vertical="center"/>
    </xf>
    <xf numFmtId="10" fontId="3" fillId="24" borderId="10" xfId="0" applyNumberFormat="1" applyFont="1" applyFill="1" applyBorder="1" applyAlignment="1">
      <alignment vertical="center"/>
    </xf>
    <xf numFmtId="10" fontId="4" fillId="24" borderId="45" xfId="0" applyNumberFormat="1" applyFont="1" applyFill="1" applyBorder="1" applyAlignment="1">
      <alignment vertical="center"/>
    </xf>
    <xf numFmtId="4" fontId="20" fillId="0" borderId="47" xfId="0" applyNumberFormat="1" applyFont="1" applyBorder="1" applyAlignment="1">
      <alignment vertical="center"/>
    </xf>
    <xf numFmtId="4" fontId="20" fillId="0" borderId="53" xfId="0" applyNumberFormat="1" applyFont="1" applyBorder="1" applyAlignment="1">
      <alignment vertical="center"/>
    </xf>
    <xf numFmtId="3" fontId="7" fillId="20" borderId="65" xfId="0" applyNumberFormat="1" applyFont="1" applyFill="1" applyBorder="1" applyAlignment="1">
      <alignment horizontal="right" vertical="center"/>
    </xf>
    <xf numFmtId="3" fontId="3" fillId="20" borderId="14" xfId="0" applyNumberFormat="1" applyFont="1" applyFill="1" applyBorder="1" applyAlignment="1">
      <alignment vertical="center" wrapText="1"/>
    </xf>
    <xf numFmtId="10" fontId="4" fillId="0" borderId="10" xfId="0" applyNumberFormat="1" applyFont="1" applyFill="1" applyBorder="1" applyAlignment="1">
      <alignment vertical="center"/>
    </xf>
    <xf numFmtId="3" fontId="3" fillId="0" borderId="63" xfId="0" applyNumberFormat="1" applyFont="1" applyFill="1" applyBorder="1" applyAlignment="1">
      <alignment vertical="center"/>
    </xf>
    <xf numFmtId="3" fontId="7" fillId="20" borderId="77" xfId="0" applyNumberFormat="1" applyFont="1" applyFill="1" applyBorder="1" applyAlignment="1">
      <alignment horizontal="right" vertical="center"/>
    </xf>
    <xf numFmtId="164" fontId="18" fillId="0" borderId="22" xfId="53" applyNumberFormat="1" applyFont="1" applyBorder="1" applyAlignment="1">
      <alignment horizontal="right" vertical="center" wrapText="1"/>
      <protection/>
    </xf>
    <xf numFmtId="3" fontId="7" fillId="20" borderId="22" xfId="0" applyNumberFormat="1" applyFont="1" applyFill="1" applyBorder="1" applyAlignment="1">
      <alignment horizontal="right" vertical="center"/>
    </xf>
    <xf numFmtId="164" fontId="1" fillId="4" borderId="24" xfId="0" applyNumberFormat="1" applyFont="1" applyFill="1" applyBorder="1" applyAlignment="1">
      <alignment vertical="center"/>
    </xf>
    <xf numFmtId="164" fontId="3" fillId="4" borderId="14" xfId="0" applyNumberFormat="1" applyFont="1" applyFill="1" applyBorder="1" applyAlignment="1">
      <alignment vertical="center" wrapText="1"/>
    </xf>
    <xf numFmtId="3" fontId="3" fillId="4" borderId="11" xfId="0" applyNumberFormat="1" applyFont="1" applyFill="1" applyBorder="1" applyAlignment="1">
      <alignment vertical="center"/>
    </xf>
    <xf numFmtId="3" fontId="3" fillId="4" borderId="12" xfId="0" applyNumberFormat="1" applyFont="1" applyFill="1" applyBorder="1" applyAlignment="1">
      <alignment horizontal="right" vertical="center"/>
    </xf>
    <xf numFmtId="10" fontId="4" fillId="4" borderId="13" xfId="0" applyNumberFormat="1" applyFont="1" applyFill="1" applyBorder="1" applyAlignment="1">
      <alignment vertical="center"/>
    </xf>
    <xf numFmtId="164" fontId="4" fillId="4" borderId="10" xfId="0" applyNumberFormat="1" applyFont="1" applyFill="1" applyBorder="1" applyAlignment="1">
      <alignment horizontal="right" vertical="center"/>
    </xf>
    <xf numFmtId="4" fontId="7" fillId="4" borderId="12" xfId="0" applyNumberFormat="1" applyFont="1" applyFill="1" applyBorder="1" applyAlignment="1">
      <alignment horizontal="right" vertical="center"/>
    </xf>
    <xf numFmtId="10" fontId="4" fillId="4" borderId="13" xfId="0" applyNumberFormat="1" applyFont="1" applyFill="1" applyBorder="1" applyAlignment="1">
      <alignment horizontal="right" vertical="center"/>
    </xf>
    <xf numFmtId="170" fontId="26" fillId="24" borderId="0" xfId="0" applyNumberFormat="1" applyFont="1" applyFill="1" applyAlignment="1">
      <alignment wrapText="1"/>
    </xf>
    <xf numFmtId="0" fontId="26" fillId="24" borderId="0" xfId="0" applyFont="1" applyFill="1" applyAlignment="1">
      <alignment wrapText="1"/>
    </xf>
    <xf numFmtId="165" fontId="26" fillId="0" borderId="27" xfId="0" applyNumberFormat="1" applyFont="1" applyBorder="1" applyAlignment="1">
      <alignment horizontal="center" wrapText="1"/>
    </xf>
    <xf numFmtId="3" fontId="3" fillId="24" borderId="25" xfId="0" applyNumberFormat="1" applyFont="1" applyFill="1" applyBorder="1" applyAlignment="1">
      <alignment horizontal="right" vertical="center"/>
    </xf>
    <xf numFmtId="3" fontId="3" fillId="24" borderId="40" xfId="0" applyNumberFormat="1" applyFont="1" applyFill="1" applyBorder="1" applyAlignment="1">
      <alignment horizontal="right" vertical="center"/>
    </xf>
    <xf numFmtId="164" fontId="13" fillId="0" borderId="42" xfId="0" applyNumberFormat="1" applyFont="1" applyFill="1" applyBorder="1" applyAlignment="1">
      <alignment horizontal="center" vertical="top" wrapText="1"/>
    </xf>
    <xf numFmtId="164" fontId="13" fillId="0" borderId="43" xfId="0" applyNumberFormat="1" applyFont="1" applyFill="1" applyBorder="1" applyAlignment="1">
      <alignment horizontal="center" vertical="top" wrapText="1"/>
    </xf>
    <xf numFmtId="164" fontId="13" fillId="0" borderId="20" xfId="0" applyNumberFormat="1" applyFont="1" applyFill="1" applyBorder="1" applyAlignment="1">
      <alignment horizontal="center" vertical="top" wrapText="1"/>
    </xf>
    <xf numFmtId="164" fontId="13" fillId="0" borderId="57" xfId="0" applyNumberFormat="1" applyFont="1" applyFill="1" applyBorder="1" applyAlignment="1">
      <alignment horizontal="center" vertical="center" wrapText="1"/>
    </xf>
    <xf numFmtId="0" fontId="13" fillId="0" borderId="58" xfId="0" applyFont="1" applyBorder="1" applyAlignment="1">
      <alignment vertical="center"/>
    </xf>
    <xf numFmtId="0" fontId="13" fillId="0" borderId="59" xfId="0" applyFont="1" applyBorder="1" applyAlignment="1">
      <alignment vertical="center"/>
    </xf>
    <xf numFmtId="3" fontId="13" fillId="0" borderId="58" xfId="0" applyNumberFormat="1" applyFont="1" applyBorder="1" applyAlignment="1">
      <alignment horizontal="center" vertical="center"/>
    </xf>
    <xf numFmtId="0" fontId="13" fillId="0" borderId="0" xfId="0" applyFont="1" applyFill="1" applyAlignment="1">
      <alignment horizontal="center" vertical="top"/>
    </xf>
    <xf numFmtId="0" fontId="13" fillId="0" borderId="0" xfId="0" applyFont="1" applyFill="1" applyAlignment="1">
      <alignment vertical="top" wrapText="1"/>
    </xf>
    <xf numFmtId="0" fontId="13" fillId="0" borderId="0" xfId="0" applyFont="1" applyFill="1" applyAlignment="1">
      <alignment vertical="center" wrapText="1"/>
    </xf>
    <xf numFmtId="0" fontId="17" fillId="0" borderId="0" xfId="0" applyFont="1" applyFill="1" applyAlignment="1">
      <alignment vertical="top" wrapText="1"/>
    </xf>
    <xf numFmtId="0" fontId="17" fillId="0" borderId="0" xfId="0" applyFont="1" applyFill="1" applyAlignment="1">
      <alignment vertical="center" wrapText="1"/>
    </xf>
    <xf numFmtId="164" fontId="13" fillId="0" borderId="0" xfId="0" applyNumberFormat="1" applyFont="1" applyFill="1" applyBorder="1" applyAlignment="1">
      <alignment horizontal="left" vertical="top" wrapText="1"/>
    </xf>
    <xf numFmtId="0" fontId="17" fillId="0" borderId="0" xfId="0" applyFont="1" applyFill="1" applyAlignment="1">
      <alignment horizontal="left" vertical="top" wrapText="1"/>
    </xf>
    <xf numFmtId="164" fontId="13" fillId="0" borderId="0" xfId="0" applyNumberFormat="1" applyFont="1" applyFill="1" applyAlignment="1">
      <alignment vertical="top" wrapText="1"/>
    </xf>
    <xf numFmtId="164" fontId="17" fillId="0" borderId="0" xfId="0" applyNumberFormat="1" applyFont="1" applyFill="1" applyAlignment="1">
      <alignment vertical="top" wrapText="1"/>
    </xf>
    <xf numFmtId="164" fontId="17" fillId="0" borderId="0" xfId="0" applyNumberFormat="1" applyFont="1" applyFill="1" applyAlignment="1">
      <alignment vertical="center" wrapText="1"/>
    </xf>
    <xf numFmtId="164" fontId="13" fillId="0" borderId="14" xfId="0" applyNumberFormat="1" applyFont="1" applyFill="1" applyBorder="1" applyAlignment="1">
      <alignment vertical="top" wrapText="1"/>
    </xf>
    <xf numFmtId="164" fontId="13" fillId="0" borderId="21" xfId="0" applyNumberFormat="1" applyFont="1" applyFill="1" applyBorder="1" applyAlignment="1">
      <alignment horizontal="center" vertical="top" wrapText="1"/>
    </xf>
    <xf numFmtId="164" fontId="13" fillId="0" borderId="14" xfId="0" applyNumberFormat="1" applyFont="1" applyFill="1" applyBorder="1" applyAlignment="1">
      <alignment horizontal="center" vertical="center" wrapText="1"/>
    </xf>
    <xf numFmtId="164" fontId="13" fillId="0" borderId="14" xfId="0" applyNumberFormat="1" applyFont="1" applyFill="1" applyBorder="1" applyAlignment="1">
      <alignment horizontal="center" vertical="top"/>
    </xf>
    <xf numFmtId="164" fontId="13" fillId="0" borderId="14" xfId="0" applyNumberFormat="1" applyFont="1" applyFill="1" applyBorder="1" applyAlignment="1">
      <alignment vertical="top"/>
    </xf>
    <xf numFmtId="164" fontId="13" fillId="0" borderId="21" xfId="0" applyNumberFormat="1" applyFont="1" applyFill="1" applyBorder="1" applyAlignment="1">
      <alignment vertical="top" wrapText="1"/>
    </xf>
    <xf numFmtId="3" fontId="17" fillId="0" borderId="14" xfId="0" applyNumberFormat="1" applyFont="1" applyFill="1" applyBorder="1" applyAlignment="1">
      <alignment horizontal="left" vertical="center" wrapText="1"/>
    </xf>
    <xf numFmtId="0" fontId="17" fillId="0" borderId="0" xfId="0" applyFont="1" applyFill="1" applyAlignment="1">
      <alignment vertical="top"/>
    </xf>
    <xf numFmtId="164" fontId="13" fillId="0" borderId="81" xfId="0" applyNumberFormat="1" applyFont="1" applyFill="1" applyBorder="1" applyAlignment="1">
      <alignment vertical="top"/>
    </xf>
    <xf numFmtId="164" fontId="17" fillId="0" borderId="87" xfId="0" applyNumberFormat="1" applyFont="1" applyFill="1" applyBorder="1" applyAlignment="1">
      <alignment vertical="top" wrapText="1"/>
    </xf>
    <xf numFmtId="164" fontId="13" fillId="0" borderId="82" xfId="0" applyNumberFormat="1" applyFont="1" applyFill="1" applyBorder="1" applyAlignment="1">
      <alignment vertical="top"/>
    </xf>
    <xf numFmtId="164" fontId="17" fillId="0" borderId="85" xfId="0" applyNumberFormat="1" applyFont="1" applyFill="1" applyBorder="1" applyAlignment="1">
      <alignment vertical="top" wrapText="1"/>
    </xf>
    <xf numFmtId="164" fontId="17" fillId="0" borderId="85" xfId="0" applyNumberFormat="1" applyFont="1" applyFill="1" applyBorder="1" applyAlignment="1">
      <alignment horizontal="right" vertical="top" wrapText="1"/>
    </xf>
    <xf numFmtId="164" fontId="17" fillId="0" borderId="82" xfId="0" applyNumberFormat="1" applyFont="1" applyFill="1" applyBorder="1" applyAlignment="1">
      <alignment horizontal="left" vertical="center" wrapText="1"/>
    </xf>
    <xf numFmtId="164" fontId="17" fillId="0" borderId="85" xfId="53" applyNumberFormat="1" applyFont="1" applyFill="1" applyBorder="1" applyAlignment="1">
      <alignment horizontal="left" vertical="top" wrapText="1"/>
      <protection/>
    </xf>
    <xf numFmtId="164" fontId="17" fillId="0" borderId="86" xfId="0" applyNumberFormat="1" applyFont="1" applyFill="1" applyBorder="1" applyAlignment="1">
      <alignment vertical="top" wrapText="1"/>
    </xf>
    <xf numFmtId="3" fontId="17" fillId="0" borderId="18" xfId="0" applyNumberFormat="1" applyFont="1" applyFill="1" applyBorder="1" applyAlignment="1">
      <alignment horizontal="left" vertical="center" wrapText="1"/>
    </xf>
    <xf numFmtId="49" fontId="17" fillId="0" borderId="85" xfId="0" applyNumberFormat="1" applyFont="1" applyFill="1" applyBorder="1" applyAlignment="1">
      <alignment horizontal="right" vertical="top" wrapText="1"/>
    </xf>
    <xf numFmtId="3" fontId="17" fillId="0" borderId="80" xfId="0" applyNumberFormat="1" applyFont="1" applyFill="1" applyBorder="1" applyAlignment="1">
      <alignment horizontal="left" vertical="center" wrapText="1"/>
    </xf>
    <xf numFmtId="164" fontId="17" fillId="0" borderId="85" xfId="53" applyNumberFormat="1" applyFont="1" applyFill="1" applyBorder="1" applyAlignment="1">
      <alignment vertical="top" wrapText="1"/>
      <protection/>
    </xf>
    <xf numFmtId="164" fontId="17" fillId="0" borderId="85" xfId="53" applyNumberFormat="1" applyFont="1" applyFill="1" applyBorder="1" applyAlignment="1">
      <alignment horizontal="right" vertical="top" wrapText="1"/>
      <protection/>
    </xf>
    <xf numFmtId="166" fontId="17" fillId="0" borderId="85" xfId="0" applyNumberFormat="1" applyFont="1" applyFill="1" applyBorder="1" applyAlignment="1">
      <alignment horizontal="right" vertical="top" wrapText="1"/>
    </xf>
    <xf numFmtId="3" fontId="17" fillId="0" borderId="30" xfId="0" applyNumberFormat="1" applyFont="1" applyFill="1" applyBorder="1" applyAlignment="1">
      <alignment horizontal="left" vertical="center" wrapText="1"/>
    </xf>
    <xf numFmtId="3" fontId="17" fillId="0" borderId="78" xfId="0" applyNumberFormat="1" applyFont="1" applyFill="1" applyBorder="1" applyAlignment="1">
      <alignment horizontal="left" vertical="center" wrapText="1"/>
    </xf>
    <xf numFmtId="3" fontId="17" fillId="0" borderId="82" xfId="0" applyNumberFormat="1" applyFont="1" applyFill="1" applyBorder="1" applyAlignment="1">
      <alignment horizontal="left" vertical="center" wrapText="1"/>
    </xf>
    <xf numFmtId="164" fontId="13" fillId="0" borderId="80" xfId="0" applyNumberFormat="1" applyFont="1" applyFill="1" applyBorder="1" applyAlignment="1">
      <alignment vertical="top"/>
    </xf>
    <xf numFmtId="164" fontId="17" fillId="0" borderId="21" xfId="0" applyNumberFormat="1" applyFont="1" applyFill="1" applyBorder="1" applyAlignment="1">
      <alignment vertical="top"/>
    </xf>
    <xf numFmtId="164" fontId="17" fillId="0" borderId="14" xfId="0" applyNumberFormat="1" applyFont="1" applyFill="1" applyBorder="1" applyAlignment="1">
      <alignment horizontal="left" vertical="center" wrapText="1"/>
    </xf>
    <xf numFmtId="164" fontId="13" fillId="0" borderId="21" xfId="53" applyNumberFormat="1" applyFont="1" applyFill="1" applyBorder="1" applyAlignment="1">
      <alignment vertical="top" wrapText="1"/>
      <protection/>
    </xf>
    <xf numFmtId="164" fontId="13" fillId="0" borderId="21" xfId="53" applyNumberFormat="1" applyFont="1" applyFill="1" applyBorder="1" applyAlignment="1">
      <alignment horizontal="left" vertical="top" wrapText="1"/>
      <protection/>
    </xf>
    <xf numFmtId="164" fontId="13" fillId="0" borderId="36" xfId="0" applyNumberFormat="1" applyFont="1" applyFill="1" applyBorder="1" applyAlignment="1">
      <alignment vertical="top"/>
    </xf>
    <xf numFmtId="166" fontId="17" fillId="0" borderId="87" xfId="0" applyNumberFormat="1" applyFont="1" applyFill="1" applyBorder="1" applyAlignment="1">
      <alignment horizontal="left" vertical="top" wrapText="1"/>
    </xf>
    <xf numFmtId="166" fontId="17" fillId="0" borderId="88" xfId="0" applyNumberFormat="1" applyFont="1" applyFill="1" applyBorder="1" applyAlignment="1">
      <alignment horizontal="right" vertical="top" wrapText="1"/>
    </xf>
    <xf numFmtId="166" fontId="17" fillId="0" borderId="67" xfId="0" applyNumberFormat="1" applyFont="1" applyFill="1" applyBorder="1" applyAlignment="1">
      <alignment horizontal="left" vertical="top" wrapText="1"/>
    </xf>
    <xf numFmtId="164" fontId="17" fillId="0" borderId="21" xfId="53" applyNumberFormat="1" applyFont="1" applyFill="1" applyBorder="1" applyAlignment="1">
      <alignment vertical="top" wrapText="1"/>
      <protection/>
    </xf>
    <xf numFmtId="49" fontId="17" fillId="0" borderId="87" xfId="53" applyNumberFormat="1" applyFont="1" applyFill="1" applyBorder="1" applyAlignment="1">
      <alignment horizontal="right" vertical="top" wrapText="1"/>
      <protection/>
    </xf>
    <xf numFmtId="49" fontId="17" fillId="0" borderId="85" xfId="53" applyNumberFormat="1" applyFont="1" applyFill="1" applyBorder="1" applyAlignment="1">
      <alignment horizontal="right" vertical="top" wrapText="1"/>
      <protection/>
    </xf>
    <xf numFmtId="164" fontId="17" fillId="0" borderId="88" xfId="53" applyNumberFormat="1" applyFont="1" applyFill="1" applyBorder="1" applyAlignment="1">
      <alignment horizontal="right" vertical="top" wrapText="1"/>
      <protection/>
    </xf>
    <xf numFmtId="164" fontId="17" fillId="0" borderId="21" xfId="0" applyNumberFormat="1" applyFont="1" applyFill="1" applyBorder="1" applyAlignment="1">
      <alignment vertical="top" wrapText="1"/>
    </xf>
    <xf numFmtId="164" fontId="13" fillId="0" borderId="18" xfId="0" applyNumberFormat="1" applyFont="1" applyFill="1" applyBorder="1" applyAlignment="1">
      <alignment vertical="top"/>
    </xf>
    <xf numFmtId="164" fontId="13" fillId="0" borderId="30" xfId="0" applyNumberFormat="1" applyFont="1" applyFill="1" applyBorder="1" applyAlignment="1">
      <alignment vertical="top"/>
    </xf>
    <xf numFmtId="164" fontId="17" fillId="0" borderId="28" xfId="0" applyNumberFormat="1" applyFont="1" applyFill="1" applyBorder="1" applyAlignment="1">
      <alignment vertical="top"/>
    </xf>
    <xf numFmtId="164" fontId="17" fillId="0" borderId="30" xfId="0" applyNumberFormat="1" applyFont="1" applyFill="1" applyBorder="1" applyAlignment="1">
      <alignment horizontal="left" vertical="center" wrapText="1"/>
    </xf>
    <xf numFmtId="164" fontId="13" fillId="0" borderId="21" xfId="0" applyNumberFormat="1" applyFont="1" applyFill="1" applyBorder="1" applyAlignment="1">
      <alignment horizontal="left" vertical="top" wrapText="1"/>
    </xf>
    <xf numFmtId="164" fontId="13" fillId="0" borderId="78" xfId="0" applyNumberFormat="1" applyFont="1" applyFill="1" applyBorder="1" applyAlignment="1">
      <alignment vertical="top" wrapText="1"/>
    </xf>
    <xf numFmtId="0" fontId="13" fillId="0" borderId="21" xfId="0" applyFont="1" applyFill="1" applyBorder="1" applyAlignment="1">
      <alignment horizontal="left" vertical="top" wrapText="1"/>
    </xf>
    <xf numFmtId="0" fontId="17" fillId="0" borderId="14" xfId="0" applyFont="1" applyFill="1" applyBorder="1" applyAlignment="1">
      <alignment horizontal="left" vertical="center" wrapText="1"/>
    </xf>
    <xf numFmtId="164" fontId="13" fillId="0" borderId="0" xfId="0" applyNumberFormat="1" applyFont="1" applyFill="1" applyBorder="1" applyAlignment="1">
      <alignment vertical="top"/>
    </xf>
    <xf numFmtId="164" fontId="17" fillId="0" borderId="0" xfId="0" applyNumberFormat="1" applyFont="1" applyFill="1" applyBorder="1" applyAlignment="1">
      <alignment vertical="top"/>
    </xf>
    <xf numFmtId="164" fontId="17" fillId="0" borderId="0" xfId="0" applyNumberFormat="1" applyFont="1" applyFill="1" applyBorder="1" applyAlignment="1">
      <alignment vertical="center" wrapText="1"/>
    </xf>
    <xf numFmtId="3" fontId="60" fillId="7" borderId="14" xfId="0" applyNumberFormat="1" applyFont="1" applyFill="1" applyBorder="1" applyAlignment="1">
      <alignment horizontal="right" vertical="center"/>
    </xf>
    <xf numFmtId="4" fontId="16" fillId="24" borderId="10" xfId="0" applyNumberFormat="1" applyFont="1" applyFill="1" applyBorder="1" applyAlignment="1">
      <alignment horizontal="right" vertical="top" wrapText="1"/>
    </xf>
    <xf numFmtId="170" fontId="26" fillId="0" borderId="0" xfId="0" applyNumberFormat="1" applyFont="1" applyAlignment="1">
      <alignment vertical="center" wrapText="1"/>
    </xf>
    <xf numFmtId="0" fontId="26" fillId="0" borderId="68" xfId="0" applyFont="1" applyBorder="1" applyAlignment="1">
      <alignment horizontal="left" vertical="center" wrapText="1"/>
    </xf>
    <xf numFmtId="164" fontId="15" fillId="0" borderId="0" xfId="0" applyNumberFormat="1" applyFont="1" applyAlignment="1">
      <alignment/>
    </xf>
    <xf numFmtId="164" fontId="15" fillId="24" borderId="0" xfId="0" applyNumberFormat="1" applyFont="1" applyFill="1" applyAlignment="1">
      <alignment/>
    </xf>
    <xf numFmtId="164" fontId="14" fillId="24" borderId="0" xfId="0" applyNumberFormat="1" applyFont="1" applyFill="1" applyAlignment="1">
      <alignment/>
    </xf>
    <xf numFmtId="164" fontId="13" fillId="24" borderId="0" xfId="0" applyNumberFormat="1" applyFont="1" applyFill="1" applyAlignment="1">
      <alignment horizontal="right"/>
    </xf>
    <xf numFmtId="4" fontId="17" fillId="24" borderId="0" xfId="0" applyNumberFormat="1" applyFont="1" applyFill="1" applyAlignment="1">
      <alignment horizontal="right"/>
    </xf>
    <xf numFmtId="10" fontId="17" fillId="24" borderId="0" xfId="0" applyNumberFormat="1" applyFont="1" applyFill="1" applyAlignment="1">
      <alignment horizontal="right"/>
    </xf>
    <xf numFmtId="164" fontId="17" fillId="24" borderId="0" xfId="0" applyNumberFormat="1" applyFont="1" applyFill="1" applyAlignment="1">
      <alignment horizontal="right"/>
    </xf>
    <xf numFmtId="4" fontId="17" fillId="0" borderId="0" xfId="0" applyNumberFormat="1" applyFont="1" applyAlignment="1">
      <alignment/>
    </xf>
    <xf numFmtId="0" fontId="17" fillId="0" borderId="0" xfId="0" applyFont="1" applyAlignment="1">
      <alignment/>
    </xf>
    <xf numFmtId="164" fontId="15" fillId="0" borderId="0" xfId="0" applyNumberFormat="1" applyFont="1" applyAlignment="1">
      <alignment vertical="center"/>
    </xf>
    <xf numFmtId="164" fontId="15" fillId="24" borderId="0" xfId="0" applyNumberFormat="1" applyFont="1" applyFill="1" applyAlignment="1">
      <alignment vertical="center"/>
    </xf>
    <xf numFmtId="164" fontId="13" fillId="0" borderId="0" xfId="0" applyNumberFormat="1" applyFont="1" applyAlignment="1">
      <alignment horizontal="center" vertical="center" wrapText="1"/>
    </xf>
    <xf numFmtId="10" fontId="13" fillId="24" borderId="0" xfId="0" applyNumberFormat="1" applyFont="1" applyFill="1" applyAlignment="1">
      <alignment horizontal="right" vertical="center"/>
    </xf>
    <xf numFmtId="164" fontId="13" fillId="24" borderId="0" xfId="0" applyNumberFormat="1" applyFont="1" applyFill="1" applyAlignment="1">
      <alignment horizontal="right" vertical="center"/>
    </xf>
    <xf numFmtId="4" fontId="13" fillId="24" borderId="0" xfId="0" applyNumberFormat="1" applyFont="1" applyFill="1" applyAlignment="1">
      <alignment horizontal="right" vertical="center"/>
    </xf>
    <xf numFmtId="4" fontId="17" fillId="0" borderId="0" xfId="0" applyNumberFormat="1" applyFont="1" applyAlignment="1">
      <alignment vertical="center"/>
    </xf>
    <xf numFmtId="3" fontId="13" fillId="0" borderId="0" xfId="0" applyNumberFormat="1" applyFont="1" applyAlignment="1">
      <alignment horizontal="center" vertical="center" wrapText="1"/>
    </xf>
    <xf numFmtId="164" fontId="13" fillId="0" borderId="0" xfId="0" applyNumberFormat="1" applyFont="1" applyAlignment="1">
      <alignment vertical="center" wrapText="1"/>
    </xf>
    <xf numFmtId="3" fontId="17" fillId="24" borderId="0" xfId="0" applyNumberFormat="1" applyFont="1" applyFill="1" applyAlignment="1">
      <alignment horizontal="right" vertical="center"/>
    </xf>
    <xf numFmtId="3" fontId="17" fillId="0" borderId="0" xfId="0" applyNumberFormat="1" applyFont="1" applyFill="1" applyAlignment="1">
      <alignment horizontal="right" vertical="center"/>
    </xf>
    <xf numFmtId="10" fontId="17" fillId="24" borderId="0" xfId="0" applyNumberFormat="1" applyFont="1" applyFill="1" applyAlignment="1">
      <alignment horizontal="right" vertical="center"/>
    </xf>
    <xf numFmtId="164" fontId="17" fillId="24" borderId="0" xfId="0" applyNumberFormat="1" applyFont="1" applyFill="1" applyAlignment="1">
      <alignment horizontal="right" vertical="center"/>
    </xf>
    <xf numFmtId="4" fontId="17" fillId="24" borderId="0" xfId="0" applyNumberFormat="1" applyFont="1" applyFill="1" applyAlignment="1">
      <alignment horizontal="right" vertical="center"/>
    </xf>
    <xf numFmtId="164" fontId="35" fillId="0" borderId="0" xfId="0" applyNumberFormat="1" applyFont="1" applyAlignment="1">
      <alignment/>
    </xf>
    <xf numFmtId="164" fontId="35" fillId="24" borderId="0" xfId="0" applyNumberFormat="1" applyFont="1" applyFill="1" applyAlignment="1">
      <alignment/>
    </xf>
    <xf numFmtId="164" fontId="36" fillId="24" borderId="0" xfId="0" applyNumberFormat="1" applyFont="1" applyFill="1" applyAlignment="1">
      <alignment/>
    </xf>
    <xf numFmtId="164" fontId="5" fillId="24" borderId="0" xfId="0" applyNumberFormat="1" applyFont="1" applyFill="1" applyAlignment="1">
      <alignment horizontal="right"/>
    </xf>
    <xf numFmtId="4" fontId="37" fillId="24" borderId="0" xfId="0" applyNumberFormat="1" applyFont="1" applyFill="1" applyAlignment="1">
      <alignment horizontal="right"/>
    </xf>
    <xf numFmtId="10" fontId="37" fillId="24" borderId="0" xfId="0" applyNumberFormat="1" applyFont="1" applyFill="1" applyAlignment="1">
      <alignment horizontal="right"/>
    </xf>
    <xf numFmtId="164" fontId="37" fillId="24" borderId="0" xfId="0" applyNumberFormat="1" applyFont="1" applyFill="1" applyAlignment="1">
      <alignment horizontal="right"/>
    </xf>
    <xf numFmtId="4" fontId="37" fillId="0" borderId="0" xfId="0" applyNumberFormat="1" applyFont="1" applyAlignment="1">
      <alignment/>
    </xf>
    <xf numFmtId="0" fontId="37" fillId="0" borderId="0" xfId="0" applyFont="1" applyAlignment="1">
      <alignment/>
    </xf>
    <xf numFmtId="164" fontId="35" fillId="0" borderId="0" xfId="0" applyNumberFormat="1" applyFont="1" applyAlignment="1">
      <alignment vertical="center"/>
    </xf>
    <xf numFmtId="164" fontId="35" fillId="24" borderId="0" xfId="0" applyNumberFormat="1" applyFont="1" applyFill="1" applyAlignment="1">
      <alignment vertical="center"/>
    </xf>
    <xf numFmtId="10" fontId="5" fillId="24" borderId="0" xfId="0" applyNumberFormat="1" applyFont="1" applyFill="1" applyAlignment="1">
      <alignment horizontal="right" vertical="center"/>
    </xf>
    <xf numFmtId="164" fontId="5" fillId="24" borderId="0" xfId="0" applyNumberFormat="1" applyFont="1" applyFill="1" applyAlignment="1">
      <alignment horizontal="right" vertical="center"/>
    </xf>
    <xf numFmtId="4" fontId="5" fillId="24" borderId="0" xfId="0" applyNumberFormat="1" applyFont="1" applyFill="1" applyAlignment="1">
      <alignment horizontal="right" vertical="center"/>
    </xf>
    <xf numFmtId="4" fontId="37" fillId="0" borderId="0" xfId="0" applyNumberFormat="1" applyFont="1" applyAlignment="1">
      <alignment vertical="center"/>
    </xf>
    <xf numFmtId="0" fontId="37" fillId="0" borderId="0" xfId="0" applyFont="1" applyAlignment="1">
      <alignment vertical="center"/>
    </xf>
    <xf numFmtId="3" fontId="37" fillId="24" borderId="0" xfId="0" applyNumberFormat="1" applyFont="1" applyFill="1" applyAlignment="1">
      <alignment horizontal="right" vertical="center"/>
    </xf>
    <xf numFmtId="3" fontId="37" fillId="0" borderId="0" xfId="0" applyNumberFormat="1" applyFont="1" applyFill="1" applyAlignment="1">
      <alignment horizontal="right" vertical="center"/>
    </xf>
    <xf numFmtId="10" fontId="37" fillId="24" borderId="0" xfId="0" applyNumberFormat="1" applyFont="1" applyFill="1" applyAlignment="1">
      <alignment horizontal="right" vertical="center"/>
    </xf>
    <xf numFmtId="164" fontId="37" fillId="24" borderId="0" xfId="0" applyNumberFormat="1" applyFont="1" applyFill="1" applyAlignment="1">
      <alignment horizontal="right" vertical="center"/>
    </xf>
    <xf numFmtId="4" fontId="37" fillId="24" borderId="0" xfId="0" applyNumberFormat="1" applyFont="1" applyFill="1" applyAlignment="1">
      <alignment horizontal="right" vertical="center"/>
    </xf>
    <xf numFmtId="164" fontId="1" fillId="0" borderId="0" xfId="0" applyNumberFormat="1" applyFont="1" applyAlignment="1">
      <alignment wrapText="1"/>
    </xf>
    <xf numFmtId="0" fontId="4" fillId="0" borderId="0" xfId="0" applyFont="1" applyAlignment="1">
      <alignment wrapText="1"/>
    </xf>
    <xf numFmtId="164" fontId="1" fillId="0" borderId="0" xfId="0" applyNumberFormat="1" applyFont="1" applyAlignment="1">
      <alignment vertical="center" wrapText="1"/>
    </xf>
    <xf numFmtId="165" fontId="25" fillId="24" borderId="20" xfId="0" applyNumberFormat="1" applyFont="1" applyFill="1" applyBorder="1" applyAlignment="1">
      <alignment horizontal="center" vertical="center" wrapText="1"/>
    </xf>
    <xf numFmtId="165" fontId="26" fillId="24" borderId="53" xfId="0" applyNumberFormat="1" applyFont="1" applyFill="1" applyBorder="1" applyAlignment="1">
      <alignment horizontal="center" vertical="center" wrapText="1"/>
    </xf>
    <xf numFmtId="165" fontId="26" fillId="24" borderId="53" xfId="0" applyNumberFormat="1" applyFont="1" applyFill="1" applyBorder="1" applyAlignment="1">
      <alignment horizontal="center" wrapText="1"/>
    </xf>
    <xf numFmtId="165" fontId="26" fillId="24" borderId="27" xfId="0" applyNumberFormat="1" applyFont="1" applyFill="1" applyBorder="1" applyAlignment="1">
      <alignment horizontal="center" vertical="center" wrapText="1"/>
    </xf>
    <xf numFmtId="165" fontId="25" fillId="24" borderId="69" xfId="0" applyNumberFormat="1" applyFont="1" applyFill="1" applyBorder="1" applyAlignment="1">
      <alignment horizontal="center" vertical="center" wrapText="1"/>
    </xf>
    <xf numFmtId="165" fontId="26" fillId="24" borderId="87" xfId="0" applyNumberFormat="1" applyFont="1" applyFill="1" applyBorder="1" applyAlignment="1">
      <alignment horizontal="center" vertical="center" wrapText="1"/>
    </xf>
    <xf numFmtId="165" fontId="26" fillId="24" borderId="85" xfId="0" applyNumberFormat="1" applyFont="1" applyFill="1" applyBorder="1" applyAlignment="1">
      <alignment horizontal="center" vertical="center" wrapText="1"/>
    </xf>
    <xf numFmtId="165" fontId="26" fillId="0" borderId="85" xfId="0" applyNumberFormat="1" applyFont="1" applyBorder="1" applyAlignment="1">
      <alignment horizontal="center" wrapText="1"/>
    </xf>
    <xf numFmtId="165" fontId="26" fillId="0" borderId="88" xfId="0" applyNumberFormat="1" applyFont="1" applyBorder="1" applyAlignment="1">
      <alignment horizontal="center" wrapText="1"/>
    </xf>
    <xf numFmtId="165" fontId="25" fillId="24" borderId="20" xfId="0" applyNumberFormat="1" applyFont="1" applyFill="1" applyBorder="1" applyAlignment="1">
      <alignment horizontal="center" wrapText="1"/>
    </xf>
    <xf numFmtId="165" fontId="26" fillId="0" borderId="53" xfId="0" applyNumberFormat="1" applyFont="1" applyBorder="1" applyAlignment="1">
      <alignment horizontal="center" wrapText="1"/>
    </xf>
    <xf numFmtId="165" fontId="26" fillId="24" borderId="20" xfId="0" applyNumberFormat="1" applyFont="1" applyFill="1" applyBorder="1" applyAlignment="1">
      <alignment horizontal="center" wrapText="1"/>
    </xf>
    <xf numFmtId="165" fontId="30" fillId="24" borderId="27" xfId="0" applyNumberFormat="1" applyFont="1" applyFill="1" applyBorder="1" applyAlignment="1">
      <alignment horizontal="center" wrapText="1"/>
    </xf>
    <xf numFmtId="165" fontId="26" fillId="0" borderId="69" xfId="0" applyNumberFormat="1" applyFont="1" applyBorder="1" applyAlignment="1">
      <alignment horizontal="center" vertical="center" wrapText="1"/>
    </xf>
    <xf numFmtId="4" fontId="26" fillId="24" borderId="51" xfId="0" applyNumberFormat="1" applyFont="1" applyFill="1" applyBorder="1" applyAlignment="1">
      <alignment vertical="top" wrapText="1"/>
    </xf>
    <xf numFmtId="165" fontId="27" fillId="7" borderId="12" xfId="0" applyNumberFormat="1" applyFont="1" applyFill="1" applyBorder="1" applyAlignment="1">
      <alignment horizontal="center" vertical="center" wrapText="1"/>
    </xf>
    <xf numFmtId="164" fontId="25" fillId="24" borderId="78" xfId="0" applyNumberFormat="1" applyFont="1" applyFill="1" applyBorder="1" applyAlignment="1">
      <alignment horizontal="left" vertical="center" wrapText="1"/>
    </xf>
    <xf numFmtId="165" fontId="27" fillId="7" borderId="67" xfId="0" applyNumberFormat="1" applyFont="1" applyFill="1" applyBorder="1" applyAlignment="1">
      <alignment horizontal="center" vertical="center" wrapText="1"/>
    </xf>
    <xf numFmtId="164" fontId="25" fillId="25" borderId="22" xfId="0" applyNumberFormat="1" applyFont="1" applyFill="1" applyBorder="1" applyAlignment="1">
      <alignment horizontal="left" vertical="center" wrapText="1"/>
    </xf>
    <xf numFmtId="165" fontId="25" fillId="25" borderId="14" xfId="0" applyNumberFormat="1" applyFont="1" applyFill="1" applyBorder="1" applyAlignment="1">
      <alignment horizontal="center" vertical="center" wrapText="1"/>
    </xf>
    <xf numFmtId="165" fontId="27" fillId="0" borderId="12" xfId="0" applyNumberFormat="1" applyFont="1" applyBorder="1" applyAlignment="1">
      <alignment horizontal="center" wrapText="1"/>
    </xf>
    <xf numFmtId="165" fontId="25" fillId="0" borderId="16" xfId="0" applyNumberFormat="1" applyFont="1" applyBorder="1" applyAlignment="1">
      <alignment horizontal="center" wrapText="1"/>
    </xf>
    <xf numFmtId="0" fontId="25" fillId="0" borderId="0" xfId="0" applyFont="1" applyAlignment="1">
      <alignment vertical="center" wrapText="1"/>
    </xf>
    <xf numFmtId="164" fontId="25" fillId="0" borderId="10" xfId="0" applyNumberFormat="1" applyFont="1" applyBorder="1" applyAlignment="1">
      <alignment horizontal="right" vertical="center" wrapText="1"/>
    </xf>
    <xf numFmtId="165" fontId="25" fillId="24" borderId="12" xfId="0" applyNumberFormat="1" applyFont="1" applyFill="1" applyBorder="1" applyAlignment="1">
      <alignment horizontal="center" vertical="center" wrapText="1"/>
    </xf>
    <xf numFmtId="0" fontId="25" fillId="25" borderId="14" xfId="0" applyFont="1" applyFill="1" applyBorder="1" applyAlignment="1">
      <alignment horizontal="right" wrapText="1"/>
    </xf>
    <xf numFmtId="165" fontId="38" fillId="25" borderId="14" xfId="0" applyNumberFormat="1" applyFont="1" applyFill="1" applyBorder="1" applyAlignment="1">
      <alignment horizontal="center" wrapText="1"/>
    </xf>
    <xf numFmtId="0" fontId="25" fillId="24" borderId="29" xfId="0" applyFont="1" applyFill="1" applyBorder="1" applyAlignment="1">
      <alignment horizontal="right" wrapText="1"/>
    </xf>
    <xf numFmtId="165" fontId="38" fillId="24" borderId="0" xfId="0" applyNumberFormat="1" applyFont="1" applyFill="1" applyBorder="1" applyAlignment="1">
      <alignment horizontal="center" wrapText="1"/>
    </xf>
    <xf numFmtId="0" fontId="25" fillId="24" borderId="22" xfId="0" applyFont="1" applyFill="1" applyBorder="1" applyAlignment="1">
      <alignment horizontal="right" wrapText="1"/>
    </xf>
    <xf numFmtId="165" fontId="38" fillId="24" borderId="21" xfId="0" applyNumberFormat="1" applyFont="1" applyFill="1" applyBorder="1" applyAlignment="1">
      <alignment horizontal="center" wrapText="1"/>
    </xf>
    <xf numFmtId="170" fontId="17" fillId="0" borderId="0" xfId="0" applyNumberFormat="1" applyFont="1" applyAlignment="1">
      <alignment wrapText="1"/>
    </xf>
    <xf numFmtId="0" fontId="17" fillId="0" borderId="0" xfId="0" applyFont="1" applyAlignment="1">
      <alignment wrapText="1"/>
    </xf>
    <xf numFmtId="0" fontId="17" fillId="0" borderId="0" xfId="0" applyFont="1" applyAlignment="1">
      <alignment vertical="center" wrapText="1"/>
    </xf>
    <xf numFmtId="0" fontId="13" fillId="0" borderId="0" xfId="0" applyFont="1" applyAlignment="1">
      <alignment/>
    </xf>
    <xf numFmtId="164" fontId="13" fillId="0" borderId="0" xfId="0" applyNumberFormat="1" applyFont="1" applyAlignment="1">
      <alignment horizontal="left" vertical="center" wrapText="1"/>
    </xf>
    <xf numFmtId="165" fontId="17" fillId="0" borderId="0" xfId="0" applyNumberFormat="1" applyFont="1" applyAlignment="1">
      <alignment horizontal="right" wrapText="1"/>
    </xf>
    <xf numFmtId="166" fontId="17" fillId="24" borderId="54" xfId="0" applyNumberFormat="1" applyFont="1" applyFill="1" applyBorder="1" applyAlignment="1">
      <alignment horizontal="right" vertical="center" wrapText="1"/>
    </xf>
    <xf numFmtId="3" fontId="61" fillId="0" borderId="14" xfId="0" applyNumberFormat="1" applyFont="1" applyFill="1" applyBorder="1" applyAlignment="1">
      <alignment horizontal="left" vertical="center" wrapText="1"/>
    </xf>
    <xf numFmtId="166" fontId="16" fillId="24" borderId="54" xfId="0" applyNumberFormat="1" applyFont="1" applyFill="1" applyBorder="1" applyAlignment="1">
      <alignment horizontal="right" vertical="center" wrapText="1"/>
    </xf>
    <xf numFmtId="164" fontId="3" fillId="0" borderId="0" xfId="0" applyNumberFormat="1" applyFont="1" applyAlignment="1">
      <alignment horizontal="left" vertical="center" wrapText="1"/>
    </xf>
    <xf numFmtId="0" fontId="62" fillId="0" borderId="0" xfId="0" applyFont="1" applyAlignment="1">
      <alignment horizontal="center" wrapText="1"/>
    </xf>
    <xf numFmtId="0" fontId="63" fillId="0" borderId="0" xfId="0" applyFont="1" applyAlignment="1">
      <alignment horizontal="left" wrapText="1"/>
    </xf>
    <xf numFmtId="0" fontId="62" fillId="0" borderId="0" xfId="0" applyFont="1" applyAlignment="1">
      <alignment wrapText="1"/>
    </xf>
    <xf numFmtId="164" fontId="33" fillId="20" borderId="21" xfId="0" applyNumberFormat="1" applyFont="1" applyFill="1" applyBorder="1" applyAlignment="1">
      <alignment horizontal="center" vertical="center" wrapText="1"/>
    </xf>
    <xf numFmtId="164" fontId="3" fillId="0" borderId="64" xfId="0" applyNumberFormat="1" applyFont="1" applyFill="1" applyBorder="1" applyAlignment="1">
      <alignment horizontal="center" vertical="center" wrapText="1"/>
    </xf>
    <xf numFmtId="164" fontId="3" fillId="0" borderId="28" xfId="0" applyNumberFormat="1" applyFont="1" applyFill="1" applyBorder="1" applyAlignment="1">
      <alignment horizontal="center" vertical="center" wrapText="1"/>
    </xf>
    <xf numFmtId="0" fontId="13" fillId="0" borderId="0" xfId="0" applyFont="1" applyFill="1" applyAlignment="1">
      <alignment horizontal="left" wrapText="1"/>
    </xf>
    <xf numFmtId="0" fontId="0" fillId="0" borderId="0" xfId="0" applyAlignment="1">
      <alignment wrapText="1"/>
    </xf>
    <xf numFmtId="3" fontId="0" fillId="0" borderId="0" xfId="0" applyNumberFormat="1" applyAlignment="1">
      <alignment wrapText="1"/>
    </xf>
    <xf numFmtId="0" fontId="64" fillId="0" borderId="10" xfId="0" applyFont="1" applyBorder="1" applyAlignment="1">
      <alignment horizontal="center" wrapText="1"/>
    </xf>
    <xf numFmtId="0" fontId="31" fillId="0" borderId="11" xfId="0" applyFont="1" applyBorder="1" applyAlignment="1">
      <alignment horizontal="center" wrapText="1"/>
    </xf>
    <xf numFmtId="3" fontId="31" fillId="0" borderId="11" xfId="0" applyNumberFormat="1" applyFont="1" applyBorder="1" applyAlignment="1">
      <alignment horizontal="center" wrapText="1"/>
    </xf>
    <xf numFmtId="0" fontId="31" fillId="0" borderId="12" xfId="0" applyFont="1" applyBorder="1" applyAlignment="1">
      <alignment horizontal="center" wrapText="1"/>
    </xf>
    <xf numFmtId="0" fontId="64" fillId="0" borderId="0" xfId="0" applyFont="1" applyAlignment="1">
      <alignment horizontal="center" wrapText="1"/>
    </xf>
    <xf numFmtId="0" fontId="31" fillId="0" borderId="51" xfId="0" applyFont="1" applyBorder="1" applyAlignment="1">
      <alignment vertical="top" wrapText="1"/>
    </xf>
    <xf numFmtId="0" fontId="31" fillId="0" borderId="52" xfId="0" applyFont="1" applyBorder="1" applyAlignment="1">
      <alignment vertical="top" wrapText="1"/>
    </xf>
    <xf numFmtId="3" fontId="31" fillId="0" borderId="52" xfId="0" applyNumberFormat="1" applyFont="1" applyBorder="1" applyAlignment="1">
      <alignment horizontal="right" vertical="top" wrapText="1"/>
    </xf>
    <xf numFmtId="0" fontId="31" fillId="0" borderId="53" xfId="0" applyFont="1" applyBorder="1" applyAlignment="1">
      <alignment vertical="top" wrapText="1"/>
    </xf>
    <xf numFmtId="0" fontId="31" fillId="0" borderId="0" xfId="0" applyFont="1" applyAlignment="1">
      <alignment vertical="top" wrapText="1"/>
    </xf>
    <xf numFmtId="3" fontId="65" fillId="0" borderId="52" xfId="0" applyNumberFormat="1" applyFont="1" applyBorder="1" applyAlignment="1">
      <alignment horizontal="right" vertical="top" wrapText="1"/>
    </xf>
    <xf numFmtId="0" fontId="31" fillId="0" borderId="47" xfId="0" applyFont="1" applyBorder="1" applyAlignment="1">
      <alignment vertical="top" wrapText="1"/>
    </xf>
    <xf numFmtId="0" fontId="31" fillId="0" borderId="52" xfId="0" applyFont="1" applyBorder="1" applyAlignment="1">
      <alignment horizontal="right" vertical="top" wrapText="1"/>
    </xf>
    <xf numFmtId="0" fontId="31" fillId="0" borderId="34" xfId="0" applyFont="1" applyBorder="1" applyAlignment="1">
      <alignment vertical="top" wrapText="1"/>
    </xf>
    <xf numFmtId="0" fontId="31" fillId="0" borderId="32" xfId="0" applyFont="1" applyBorder="1" applyAlignment="1">
      <alignment vertical="top" wrapText="1"/>
    </xf>
    <xf numFmtId="3" fontId="31" fillId="0" borderId="32" xfId="0" applyNumberFormat="1" applyFont="1" applyBorder="1" applyAlignment="1">
      <alignment horizontal="right" vertical="top" wrapText="1"/>
    </xf>
    <xf numFmtId="0" fontId="31" fillId="0" borderId="10" xfId="0" applyFont="1" applyBorder="1" applyAlignment="1">
      <alignment vertical="top" wrapText="1"/>
    </xf>
    <xf numFmtId="0" fontId="31" fillId="0" borderId="11" xfId="0" applyFont="1" applyBorder="1" applyAlignment="1">
      <alignment horizontal="right" vertical="top" wrapText="1"/>
    </xf>
    <xf numFmtId="0" fontId="31" fillId="0" borderId="11" xfId="0" applyFont="1" applyBorder="1" applyAlignment="1">
      <alignment vertical="top" wrapText="1"/>
    </xf>
    <xf numFmtId="3" fontId="31" fillId="0" borderId="11" xfId="0" applyNumberFormat="1" applyFont="1" applyBorder="1" applyAlignment="1">
      <alignment vertical="top" wrapText="1"/>
    </xf>
    <xf numFmtId="0" fontId="31" fillId="0" borderId="12" xfId="0" applyFont="1" applyBorder="1" applyAlignment="1">
      <alignment vertical="top" wrapText="1"/>
    </xf>
    <xf numFmtId="0" fontId="63" fillId="0" borderId="68" xfId="0" applyFont="1" applyBorder="1" applyAlignment="1">
      <alignment vertical="top" wrapText="1"/>
    </xf>
    <xf numFmtId="0" fontId="63" fillId="0" borderId="73" xfId="0" applyFont="1" applyBorder="1" applyAlignment="1">
      <alignment vertical="top" wrapText="1"/>
    </xf>
    <xf numFmtId="3" fontId="63" fillId="0" borderId="73" xfId="0" applyNumberFormat="1" applyFont="1" applyBorder="1" applyAlignment="1">
      <alignment vertical="top" wrapText="1"/>
    </xf>
    <xf numFmtId="0" fontId="63" fillId="0" borderId="69" xfId="0" applyFont="1" applyBorder="1" applyAlignment="1">
      <alignment vertical="top" wrapText="1"/>
    </xf>
    <xf numFmtId="0" fontId="63" fillId="0" borderId="0" xfId="0" applyFont="1" applyAlignment="1">
      <alignment vertical="top" wrapText="1"/>
    </xf>
    <xf numFmtId="0" fontId="63" fillId="0" borderId="0" xfId="0" applyFont="1" applyAlignment="1">
      <alignment wrapText="1"/>
    </xf>
    <xf numFmtId="3" fontId="63" fillId="0" borderId="0" xfId="0" applyNumberFormat="1" applyFont="1" applyAlignment="1">
      <alignment wrapText="1"/>
    </xf>
    <xf numFmtId="164" fontId="33" fillId="20" borderId="22" xfId="0" applyNumberFormat="1" applyFont="1" applyFill="1" applyBorder="1" applyAlignment="1">
      <alignment horizontal="center" vertical="center" wrapText="1"/>
    </xf>
    <xf numFmtId="164" fontId="33" fillId="20" borderId="13" xfId="0" applyNumberFormat="1" applyFont="1" applyFill="1" applyBorder="1" applyAlignment="1">
      <alignment horizontal="center" vertical="center" wrapText="1"/>
    </xf>
    <xf numFmtId="4" fontId="57" fillId="20" borderId="22" xfId="0" applyNumberFormat="1" applyFont="1" applyFill="1" applyBorder="1" applyAlignment="1">
      <alignment horizontal="center" wrapText="1"/>
    </xf>
    <xf numFmtId="4" fontId="57" fillId="20" borderId="13" xfId="0" applyNumberFormat="1" applyFont="1" applyFill="1" applyBorder="1" applyAlignment="1">
      <alignment horizontal="center" wrapText="1"/>
    </xf>
    <xf numFmtId="4" fontId="57" fillId="20" borderId="21" xfId="0" applyNumberFormat="1" applyFont="1" applyFill="1" applyBorder="1" applyAlignment="1">
      <alignment horizontal="center" wrapText="1"/>
    </xf>
    <xf numFmtId="4" fontId="4" fillId="0" borderId="36" xfId="0" applyNumberFormat="1" applyFont="1" applyFill="1" applyBorder="1" applyAlignment="1">
      <alignment horizontal="left" vertical="top" wrapText="1"/>
    </xf>
    <xf numFmtId="4" fontId="4" fillId="0" borderId="30" xfId="0" applyNumberFormat="1" applyFont="1" applyFill="1" applyBorder="1" applyAlignment="1">
      <alignment horizontal="left" vertical="top" wrapText="1"/>
    </xf>
    <xf numFmtId="3" fontId="17" fillId="0" borderId="36" xfId="0" applyNumberFormat="1" applyFont="1" applyFill="1" applyBorder="1" applyAlignment="1">
      <alignment horizontal="left" vertical="center" wrapText="1"/>
    </xf>
    <xf numFmtId="3" fontId="17" fillId="0" borderId="30" xfId="0" applyNumberFormat="1" applyFont="1" applyFill="1" applyBorder="1" applyAlignment="1">
      <alignment horizontal="left" vertical="center" wrapText="1"/>
    </xf>
    <xf numFmtId="3" fontId="17" fillId="0" borderId="78" xfId="0" applyNumberFormat="1" applyFont="1" applyFill="1" applyBorder="1" applyAlignment="1">
      <alignment horizontal="left" vertical="center" wrapText="1"/>
    </xf>
    <xf numFmtId="164" fontId="5" fillId="0" borderId="22" xfId="0" applyNumberFormat="1" applyFont="1" applyFill="1" applyBorder="1" applyAlignment="1">
      <alignment horizontal="center" vertical="top" wrapText="1"/>
    </xf>
    <xf numFmtId="164" fontId="5" fillId="0" borderId="21" xfId="0" applyNumberFormat="1" applyFont="1" applyFill="1" applyBorder="1" applyAlignment="1">
      <alignment horizontal="center" vertical="top" wrapText="1"/>
    </xf>
    <xf numFmtId="0" fontId="13" fillId="0" borderId="0" xfId="0" applyFont="1" applyFill="1" applyAlignment="1">
      <alignment horizontal="center" vertical="top" wrapText="1"/>
    </xf>
    <xf numFmtId="0" fontId="16" fillId="0" borderId="0" xfId="0" applyFont="1" applyFill="1" applyAlignment="1">
      <alignment horizontal="center" vertical="top" wrapText="1"/>
    </xf>
    <xf numFmtId="164" fontId="17" fillId="0" borderId="0" xfId="0" applyNumberFormat="1" applyFont="1" applyFill="1" applyBorder="1" applyAlignment="1">
      <alignment horizontal="left" vertical="top" wrapText="1"/>
    </xf>
    <xf numFmtId="164" fontId="13" fillId="0" borderId="22" xfId="0" applyNumberFormat="1" applyFont="1" applyBorder="1" applyAlignment="1">
      <alignment horizontal="center" vertical="center" wrapText="1"/>
    </xf>
    <xf numFmtId="164" fontId="13" fillId="0" borderId="13" xfId="0" applyNumberFormat="1" applyFont="1" applyBorder="1" applyAlignment="1">
      <alignment horizontal="center" vertical="center" wrapText="1"/>
    </xf>
    <xf numFmtId="164" fontId="13" fillId="0" borderId="21" xfId="0" applyNumberFormat="1" applyFont="1" applyBorder="1" applyAlignment="1">
      <alignment horizontal="center" vertical="center" wrapText="1"/>
    </xf>
    <xf numFmtId="164" fontId="2" fillId="0" borderId="22" xfId="0" applyNumberFormat="1" applyFont="1" applyFill="1" applyBorder="1" applyAlignment="1">
      <alignment horizontal="center" vertical="center"/>
    </xf>
    <xf numFmtId="164" fontId="2" fillId="0" borderId="13" xfId="0" applyNumberFormat="1" applyFont="1" applyFill="1" applyBorder="1" applyAlignment="1">
      <alignment horizontal="center" vertical="center"/>
    </xf>
    <xf numFmtId="164" fontId="2" fillId="0" borderId="21" xfId="0" applyNumberFormat="1" applyFont="1" applyFill="1" applyBorder="1" applyAlignment="1">
      <alignment horizontal="center" vertical="center"/>
    </xf>
    <xf numFmtId="164" fontId="1" fillId="0" borderId="22" xfId="0" applyNumberFormat="1" applyFont="1" applyFill="1" applyBorder="1" applyAlignment="1">
      <alignment horizontal="center" vertical="center"/>
    </xf>
    <xf numFmtId="164" fontId="1" fillId="0" borderId="13" xfId="0" applyNumberFormat="1" applyFont="1" applyFill="1" applyBorder="1" applyAlignment="1">
      <alignment horizontal="center" vertical="center"/>
    </xf>
    <xf numFmtId="164" fontId="1" fillId="0" borderId="37" xfId="0" applyNumberFormat="1" applyFont="1" applyFill="1" applyBorder="1" applyAlignment="1">
      <alignment horizontal="center" vertical="center"/>
    </xf>
    <xf numFmtId="164" fontId="1" fillId="0" borderId="21" xfId="0" applyNumberFormat="1" applyFont="1" applyFill="1" applyBorder="1" applyAlignment="1">
      <alignment horizontal="center" vertical="center"/>
    </xf>
    <xf numFmtId="0" fontId="5" fillId="0" borderId="0" xfId="0" applyFont="1" applyAlignment="1">
      <alignment horizontal="center"/>
    </xf>
    <xf numFmtId="164" fontId="5" fillId="0" borderId="0" xfId="0" applyNumberFormat="1" applyFont="1" applyAlignment="1">
      <alignment horizontal="center" vertical="center" wrapText="1"/>
    </xf>
    <xf numFmtId="164" fontId="58" fillId="0" borderId="0" xfId="0" applyNumberFormat="1" applyFont="1" applyAlignment="1">
      <alignment horizontal="left" vertical="center" wrapText="1"/>
    </xf>
    <xf numFmtId="164" fontId="1" fillId="0" borderId="22" xfId="0" applyNumberFormat="1" applyFont="1" applyBorder="1" applyAlignment="1">
      <alignment horizontal="center" vertical="center"/>
    </xf>
    <xf numFmtId="164" fontId="1" fillId="0" borderId="13" xfId="0" applyNumberFormat="1" applyFont="1" applyBorder="1" applyAlignment="1">
      <alignment horizontal="center" vertical="center"/>
    </xf>
    <xf numFmtId="164" fontId="1" fillId="0" borderId="21" xfId="0" applyNumberFormat="1" applyFont="1" applyBorder="1" applyAlignment="1">
      <alignment horizontal="center" vertical="center"/>
    </xf>
    <xf numFmtId="3" fontId="11" fillId="0" borderId="75" xfId="0" applyNumberFormat="1" applyFont="1" applyFill="1" applyBorder="1" applyAlignment="1">
      <alignment horizontal="left" vertical="center" wrapText="1"/>
    </xf>
    <xf numFmtId="3" fontId="11" fillId="0" borderId="54" xfId="0" applyNumberFormat="1" applyFont="1" applyFill="1" applyBorder="1" applyAlignment="1">
      <alignment horizontal="left" vertical="center" wrapText="1"/>
    </xf>
    <xf numFmtId="3" fontId="11" fillId="0" borderId="85" xfId="0" applyNumberFormat="1" applyFont="1" applyFill="1" applyBorder="1" applyAlignment="1">
      <alignment horizontal="left" vertical="center" wrapText="1"/>
    </xf>
    <xf numFmtId="0" fontId="13" fillId="0" borderId="66" xfId="0" applyFont="1" applyBorder="1" applyAlignment="1">
      <alignment horizontal="center" wrapText="1"/>
    </xf>
    <xf numFmtId="164" fontId="13" fillId="0" borderId="0" xfId="0" applyNumberFormat="1" applyFont="1" applyAlignment="1">
      <alignment horizontal="center" vertical="center" wrapText="1"/>
    </xf>
    <xf numFmtId="164" fontId="13" fillId="25" borderId="63" xfId="0" applyNumberFormat="1" applyFont="1" applyFill="1" applyBorder="1" applyAlignment="1">
      <alignment horizontal="center" vertical="center" wrapText="1"/>
    </xf>
    <xf numFmtId="164" fontId="13" fillId="25" borderId="64" xfId="0" applyNumberFormat="1" applyFont="1" applyFill="1" applyBorder="1" applyAlignment="1">
      <alignment horizontal="center" vertical="center" wrapText="1"/>
    </xf>
    <xf numFmtId="0" fontId="13" fillId="7" borderId="22" xfId="0" applyFont="1" applyFill="1" applyBorder="1" applyAlignment="1">
      <alignment horizontal="center" wrapText="1"/>
    </xf>
    <xf numFmtId="0" fontId="13" fillId="7" borderId="21" xfId="0" applyFont="1" applyFill="1" applyBorder="1" applyAlignment="1">
      <alignment horizontal="center" wrapText="1"/>
    </xf>
    <xf numFmtId="0" fontId="3" fillId="0" borderId="0" xfId="0" applyFont="1" applyAlignment="1">
      <alignment horizontal="center" wrapText="1"/>
    </xf>
    <xf numFmtId="164" fontId="3" fillId="0" borderId="0" xfId="0" applyNumberFormat="1" applyFont="1" applyAlignment="1">
      <alignment horizontal="center" vertical="center" wrapText="1"/>
    </xf>
    <xf numFmtId="0" fontId="31" fillId="0" borderId="22" xfId="0" applyFont="1" applyBorder="1" applyAlignment="1">
      <alignment horizontal="center"/>
    </xf>
    <xf numFmtId="0" fontId="31" fillId="0" borderId="13" xfId="0" applyFont="1" applyBorder="1" applyAlignment="1">
      <alignment horizontal="center"/>
    </xf>
    <xf numFmtId="0" fontId="31" fillId="0" borderId="21" xfId="0" applyFont="1" applyBorder="1" applyAlignment="1">
      <alignment horizontal="center"/>
    </xf>
    <xf numFmtId="0" fontId="62" fillId="0" borderId="0" xfId="0" applyFont="1" applyAlignment="1">
      <alignment horizontal="center" wrapText="1"/>
    </xf>
    <xf numFmtId="0" fontId="63" fillId="0" borderId="0" xfId="0" applyFont="1" applyAlignment="1">
      <alignment horizontal="lef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7"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Local%20Settings\Temporary%20Internet%20Files\Content.IE5\QP0BFEBB\&#1057;&#1084;&#1077;&#1090;&#1072;_&#1085;&#1072;_2011&#1075;.%20-%20&#1074;&#1072;&#1088;&#1080;&#1072;&#1085;&#1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яснительная записка"/>
      <sheetName val="2010г. расход.коммерч.ср-в"/>
      <sheetName val="МОП использование"/>
      <sheetName val="смета через ИП"/>
      <sheetName val="смета-2011 (консьержи)"/>
      <sheetName val="смета-2011 (диспетчер)"/>
    </sheetNames>
    <sheetDataSet>
      <sheetData sheetId="5">
        <row r="8">
          <cell r="I8">
            <v>0.800245464022912</v>
          </cell>
          <cell r="L8">
            <v>0.07335070087464103</v>
          </cell>
          <cell r="O8">
            <v>0.1264038351024469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77"/>
  <sheetViews>
    <sheetView zoomScale="75" zoomScaleNormal="75" zoomScalePageLayoutView="0" workbookViewId="0" topLeftCell="A34">
      <selection activeCell="J47" sqref="J47"/>
    </sheetView>
  </sheetViews>
  <sheetFormatPr defaultColWidth="8.875" defaultRowHeight="12.75"/>
  <cols>
    <col min="1" max="1" width="4.375" style="884" customWidth="1"/>
    <col min="2" max="2" width="75.125" style="886" customWidth="1"/>
    <col min="3" max="3" width="102.625" style="887" customWidth="1"/>
    <col min="4" max="16384" width="8.875" style="886" customWidth="1"/>
  </cols>
  <sheetData>
    <row r="1" spans="1:3" s="884" customFormat="1" ht="18.75">
      <c r="A1" s="883"/>
      <c r="B1" s="1084" t="s">
        <v>323</v>
      </c>
      <c r="C1" s="1084"/>
    </row>
    <row r="2" spans="1:3" s="884" customFormat="1" ht="18.75">
      <c r="A2" s="883"/>
      <c r="B2" s="1084" t="s">
        <v>324</v>
      </c>
      <c r="C2" s="1084"/>
    </row>
    <row r="3" spans="1:3" s="884" customFormat="1" ht="24.75" customHeight="1">
      <c r="A3" s="883"/>
      <c r="B3" s="1085" t="s">
        <v>325</v>
      </c>
      <c r="C3" s="1085"/>
    </row>
    <row r="4" spans="1:3" s="884" customFormat="1" ht="18.75">
      <c r="A4" s="883"/>
      <c r="C4" s="885"/>
    </row>
    <row r="5" spans="1:3" s="884" customFormat="1" ht="18.75">
      <c r="A5" s="883"/>
      <c r="B5" s="1084" t="s">
        <v>326</v>
      </c>
      <c r="C5" s="1084"/>
    </row>
    <row r="6" spans="1:3" s="884" customFormat="1" ht="44.25" customHeight="1">
      <c r="A6" s="883"/>
      <c r="B6" s="1084" t="s">
        <v>327</v>
      </c>
      <c r="C6" s="1084"/>
    </row>
    <row r="8" spans="1:3" s="889" customFormat="1" ht="54.75" customHeight="1">
      <c r="A8" s="888"/>
      <c r="B8" s="1086" t="s">
        <v>328</v>
      </c>
      <c r="C8" s="1086"/>
    </row>
    <row r="9" spans="1:3" ht="19.5" thickBot="1">
      <c r="A9" s="890"/>
      <c r="B9" s="891"/>
      <c r="C9" s="892"/>
    </row>
    <row r="10" spans="1:3" s="884" customFormat="1" ht="19.5" thickBot="1">
      <c r="A10" s="893"/>
      <c r="B10" s="894" t="s">
        <v>329</v>
      </c>
      <c r="C10" s="895" t="s">
        <v>330</v>
      </c>
    </row>
    <row r="11" spans="1:3" s="883" customFormat="1" ht="38.25" thickBot="1">
      <c r="A11" s="896">
        <v>1</v>
      </c>
      <c r="B11" s="894" t="s">
        <v>34</v>
      </c>
      <c r="C11" s="895"/>
    </row>
    <row r="12" spans="1:3" s="900" customFormat="1" ht="19.5" thickBot="1">
      <c r="A12" s="897"/>
      <c r="B12" s="898" t="s">
        <v>35</v>
      </c>
      <c r="C12" s="899"/>
    </row>
    <row r="13" spans="1:3" s="900" customFormat="1" ht="38.25" thickBot="1">
      <c r="A13" s="901"/>
      <c r="B13" s="902" t="s">
        <v>36</v>
      </c>
      <c r="C13" s="899" t="s">
        <v>424</v>
      </c>
    </row>
    <row r="14" spans="1:3" s="900" customFormat="1" ht="19.5" thickBot="1">
      <c r="A14" s="903"/>
      <c r="B14" s="904" t="s">
        <v>331</v>
      </c>
      <c r="C14" s="899"/>
    </row>
    <row r="15" spans="1:3" s="900" customFormat="1" ht="19.5" thickBot="1">
      <c r="A15" s="903"/>
      <c r="B15" s="905" t="s">
        <v>38</v>
      </c>
      <c r="C15" s="899" t="s">
        <v>332</v>
      </c>
    </row>
    <row r="16" spans="1:3" s="900" customFormat="1" ht="57" thickBot="1">
      <c r="A16" s="903"/>
      <c r="B16" s="905" t="s">
        <v>333</v>
      </c>
      <c r="C16" s="906" t="s">
        <v>334</v>
      </c>
    </row>
    <row r="17" spans="1:3" s="900" customFormat="1" ht="19.5" thickBot="1">
      <c r="A17" s="903"/>
      <c r="B17" s="904" t="s">
        <v>40</v>
      </c>
      <c r="C17" s="899" t="s">
        <v>335</v>
      </c>
    </row>
    <row r="18" spans="1:3" s="900" customFormat="1" ht="38.25" thickBot="1">
      <c r="A18" s="903"/>
      <c r="B18" s="904" t="s">
        <v>336</v>
      </c>
      <c r="C18" s="899" t="s">
        <v>337</v>
      </c>
    </row>
    <row r="19" spans="1:3" s="900" customFormat="1" ht="38.25" thickBot="1">
      <c r="A19" s="903"/>
      <c r="B19" s="904" t="s">
        <v>338</v>
      </c>
      <c r="C19" s="899" t="s">
        <v>339</v>
      </c>
    </row>
    <row r="20" spans="1:3" s="900" customFormat="1" ht="113.25" thickBot="1">
      <c r="A20" s="903"/>
      <c r="B20" s="904" t="s">
        <v>340</v>
      </c>
      <c r="C20" s="899" t="s">
        <v>341</v>
      </c>
    </row>
    <row r="21" spans="1:3" s="900" customFormat="1" ht="19.5" thickBot="1">
      <c r="A21" s="903"/>
      <c r="B21" s="907" t="s">
        <v>43</v>
      </c>
      <c r="C21" s="899" t="s">
        <v>342</v>
      </c>
    </row>
    <row r="22" spans="1:3" s="900" customFormat="1" ht="75.75" thickBot="1">
      <c r="A22" s="903"/>
      <c r="B22" s="904" t="s">
        <v>343</v>
      </c>
      <c r="C22" s="899" t="s">
        <v>344</v>
      </c>
    </row>
    <row r="23" spans="1:3" s="900" customFormat="1" ht="19.5" thickBot="1">
      <c r="A23" s="903"/>
      <c r="B23" s="904" t="s">
        <v>345</v>
      </c>
      <c r="C23" s="899" t="s">
        <v>346</v>
      </c>
    </row>
    <row r="24" spans="1:3" s="900" customFormat="1" ht="38.25" thickBot="1">
      <c r="A24" s="903"/>
      <c r="B24" s="904" t="s">
        <v>347</v>
      </c>
      <c r="C24" s="899" t="s">
        <v>348</v>
      </c>
    </row>
    <row r="25" spans="1:3" s="900" customFormat="1" ht="57" thickBot="1">
      <c r="A25" s="903"/>
      <c r="B25" s="904" t="s">
        <v>349</v>
      </c>
      <c r="C25" s="899" t="s">
        <v>350</v>
      </c>
    </row>
    <row r="26" spans="1:3" s="900" customFormat="1" ht="38.25" thickBot="1">
      <c r="A26" s="903"/>
      <c r="B26" s="904" t="s">
        <v>351</v>
      </c>
      <c r="C26" s="899" t="s">
        <v>352</v>
      </c>
    </row>
    <row r="27" spans="1:3" s="900" customFormat="1" ht="38.25" thickBot="1">
      <c r="A27" s="903"/>
      <c r="B27" s="908" t="s">
        <v>353</v>
      </c>
      <c r="C27" s="899" t="s">
        <v>354</v>
      </c>
    </row>
    <row r="28" spans="1:3" s="900" customFormat="1" ht="38.25" thickBot="1">
      <c r="A28" s="903"/>
      <c r="B28" s="898" t="s">
        <v>355</v>
      </c>
      <c r="C28" s="899"/>
    </row>
    <row r="29" spans="1:3" s="900" customFormat="1" ht="18.75">
      <c r="A29" s="903"/>
      <c r="B29" s="902" t="s">
        <v>356</v>
      </c>
      <c r="C29" s="909"/>
    </row>
    <row r="30" spans="1:3" s="900" customFormat="1" ht="93.75">
      <c r="A30" s="903"/>
      <c r="B30" s="910" t="s">
        <v>357</v>
      </c>
      <c r="C30" s="906" t="s">
        <v>358</v>
      </c>
    </row>
    <row r="31" spans="1:3" s="900" customFormat="1" ht="56.25">
      <c r="A31" s="903"/>
      <c r="B31" s="910" t="s">
        <v>51</v>
      </c>
      <c r="C31" s="906" t="s">
        <v>359</v>
      </c>
    </row>
    <row r="32" spans="1:3" s="900" customFormat="1" ht="19.5" thickBot="1">
      <c r="A32" s="903"/>
      <c r="B32" s="904" t="s">
        <v>52</v>
      </c>
      <c r="C32" s="911"/>
    </row>
    <row r="33" spans="1:3" s="900" customFormat="1" ht="94.5" thickBot="1">
      <c r="A33" s="903"/>
      <c r="B33" s="905" t="s">
        <v>360</v>
      </c>
      <c r="C33" s="899" t="s">
        <v>361</v>
      </c>
    </row>
    <row r="34" spans="1:3" s="900" customFormat="1" ht="19.5" thickBot="1">
      <c r="A34" s="903"/>
      <c r="B34" s="904" t="s">
        <v>54</v>
      </c>
      <c r="C34" s="899" t="s">
        <v>362</v>
      </c>
    </row>
    <row r="35" spans="1:3" s="900" customFormat="1" ht="38.25" thickBot="1">
      <c r="A35" s="903"/>
      <c r="B35" s="904" t="s">
        <v>55</v>
      </c>
      <c r="C35" s="899" t="s">
        <v>363</v>
      </c>
    </row>
    <row r="36" spans="1:3" s="900" customFormat="1" ht="19.5" thickBot="1">
      <c r="A36" s="903"/>
      <c r="B36" s="912" t="s">
        <v>364</v>
      </c>
      <c r="C36" s="899"/>
    </row>
    <row r="37" spans="1:3" s="900" customFormat="1" ht="38.25" thickBot="1">
      <c r="A37" s="903"/>
      <c r="B37" s="913" t="s">
        <v>365</v>
      </c>
      <c r="C37" s="899" t="s">
        <v>366</v>
      </c>
    </row>
    <row r="38" spans="1:3" s="900" customFormat="1" ht="19.5" thickBot="1">
      <c r="A38" s="903"/>
      <c r="B38" s="904" t="s">
        <v>367</v>
      </c>
      <c r="C38" s="899"/>
    </row>
    <row r="39" spans="1:3" s="900" customFormat="1" ht="38.25" thickBot="1">
      <c r="A39" s="903"/>
      <c r="B39" s="1031" t="s">
        <v>314</v>
      </c>
      <c r="C39" s="899" t="s">
        <v>368</v>
      </c>
    </row>
    <row r="40" spans="1:3" s="900" customFormat="1" ht="57" thickBot="1">
      <c r="A40" s="903"/>
      <c r="B40" s="1033" t="s">
        <v>505</v>
      </c>
      <c r="C40" s="1032" t="s">
        <v>425</v>
      </c>
    </row>
    <row r="41" spans="1:3" s="900" customFormat="1" ht="18.75">
      <c r="A41" s="903"/>
      <c r="B41" s="914" t="s">
        <v>369</v>
      </c>
      <c r="C41" s="1079" t="s">
        <v>370</v>
      </c>
    </row>
    <row r="42" spans="1:3" s="900" customFormat="1" ht="18.75">
      <c r="A42" s="903"/>
      <c r="B42" s="914" t="s">
        <v>64</v>
      </c>
      <c r="C42" s="1080"/>
    </row>
    <row r="43" spans="1:3" s="900" customFormat="1" ht="18.75">
      <c r="A43" s="903"/>
      <c r="B43" s="914" t="s">
        <v>65</v>
      </c>
      <c r="C43" s="1080"/>
    </row>
    <row r="44" spans="1:3" s="900" customFormat="1" ht="18.75">
      <c r="A44" s="903"/>
      <c r="B44" s="914" t="s">
        <v>66</v>
      </c>
      <c r="C44" s="1080"/>
    </row>
    <row r="45" spans="1:3" s="900" customFormat="1" ht="19.5" thickBot="1">
      <c r="A45" s="903"/>
      <c r="B45" s="914" t="s">
        <v>67</v>
      </c>
      <c r="C45" s="1081"/>
    </row>
    <row r="46" spans="1:3" s="900" customFormat="1" ht="19.5" thickBot="1">
      <c r="A46" s="903"/>
      <c r="B46" s="908" t="s">
        <v>371</v>
      </c>
      <c r="C46" s="899" t="s">
        <v>372</v>
      </c>
    </row>
    <row r="47" spans="1:3" s="900" customFormat="1" ht="19.5" thickBot="1">
      <c r="A47" s="903"/>
      <c r="B47" s="898" t="s">
        <v>373</v>
      </c>
      <c r="C47" s="899"/>
    </row>
    <row r="48" spans="1:3" s="900" customFormat="1" ht="38.25" thickBot="1">
      <c r="A48" s="903"/>
      <c r="B48" s="904" t="s">
        <v>374</v>
      </c>
      <c r="C48" s="899" t="s">
        <v>375</v>
      </c>
    </row>
    <row r="49" spans="1:3" s="900" customFormat="1" ht="38.25" thickBot="1">
      <c r="A49" s="903"/>
      <c r="B49" s="904" t="s">
        <v>376</v>
      </c>
      <c r="C49" s="917" t="s">
        <v>377</v>
      </c>
    </row>
    <row r="50" spans="1:3" s="900" customFormat="1" ht="38.25" thickBot="1">
      <c r="A50" s="903"/>
      <c r="B50" s="904" t="s">
        <v>378</v>
      </c>
      <c r="C50" s="899" t="s">
        <v>379</v>
      </c>
    </row>
    <row r="51" spans="1:3" s="900" customFormat="1" ht="38.25" thickBot="1">
      <c r="A51" s="903"/>
      <c r="B51" s="904" t="s">
        <v>380</v>
      </c>
      <c r="C51" s="899" t="s">
        <v>381</v>
      </c>
    </row>
    <row r="52" spans="1:3" s="900" customFormat="1" ht="19.5" thickBot="1">
      <c r="A52" s="918"/>
      <c r="B52" s="898" t="s">
        <v>382</v>
      </c>
      <c r="C52" s="899" t="s">
        <v>383</v>
      </c>
    </row>
    <row r="53" spans="1:3" s="900" customFormat="1" ht="19.5" thickBot="1">
      <c r="A53" s="897"/>
      <c r="B53" s="919"/>
      <c r="C53" s="920"/>
    </row>
    <row r="54" spans="1:3" s="900" customFormat="1" ht="75.75" thickBot="1">
      <c r="A54" s="897">
        <v>2</v>
      </c>
      <c r="B54" s="921" t="s">
        <v>384</v>
      </c>
      <c r="C54" s="899" t="s">
        <v>385</v>
      </c>
    </row>
    <row r="55" spans="1:3" s="900" customFormat="1" ht="19.5" thickBot="1">
      <c r="A55" s="897"/>
      <c r="B55" s="919"/>
      <c r="C55" s="920"/>
    </row>
    <row r="56" spans="1:3" s="900" customFormat="1" ht="19.5" thickBot="1">
      <c r="A56" s="897">
        <v>3</v>
      </c>
      <c r="B56" s="922" t="s">
        <v>386</v>
      </c>
      <c r="C56" s="899" t="s">
        <v>387</v>
      </c>
    </row>
    <row r="57" spans="1:3" s="900" customFormat="1" ht="19.5" thickBot="1">
      <c r="A57" s="897"/>
      <c r="B57" s="919"/>
      <c r="C57" s="920"/>
    </row>
    <row r="58" spans="1:3" s="900" customFormat="1" ht="38.25" thickBot="1">
      <c r="A58" s="897">
        <v>4</v>
      </c>
      <c r="B58" s="898" t="s">
        <v>17</v>
      </c>
      <c r="C58" s="920" t="s">
        <v>426</v>
      </c>
    </row>
    <row r="59" spans="1:3" s="900" customFormat="1" ht="19.5" thickBot="1">
      <c r="A59" s="923"/>
      <c r="B59" s="919"/>
      <c r="C59" s="920"/>
    </row>
    <row r="60" spans="1:3" s="900" customFormat="1" ht="21" thickBot="1">
      <c r="A60" s="923">
        <v>5</v>
      </c>
      <c r="B60" s="1082" t="s">
        <v>388</v>
      </c>
      <c r="C60" s="1083"/>
    </row>
    <row r="61" spans="1:3" s="900" customFormat="1" ht="57" thickBot="1">
      <c r="A61" s="903"/>
      <c r="B61" s="924" t="s">
        <v>389</v>
      </c>
      <c r="C61" s="916" t="s">
        <v>390</v>
      </c>
    </row>
    <row r="62" spans="1:3" s="900" customFormat="1" ht="215.25" customHeight="1">
      <c r="A62" s="903"/>
      <c r="B62" s="914" t="s">
        <v>79</v>
      </c>
      <c r="C62" s="906" t="s">
        <v>391</v>
      </c>
    </row>
    <row r="63" spans="1:3" s="900" customFormat="1" ht="37.5">
      <c r="A63" s="903"/>
      <c r="B63" s="914" t="s">
        <v>80</v>
      </c>
      <c r="C63" s="906" t="s">
        <v>392</v>
      </c>
    </row>
    <row r="64" spans="1:3" s="900" customFormat="1" ht="38.25" thickBot="1">
      <c r="A64" s="903"/>
      <c r="B64" s="925" t="s">
        <v>393</v>
      </c>
      <c r="C64" s="916" t="s">
        <v>394</v>
      </c>
    </row>
    <row r="65" spans="1:3" s="900" customFormat="1" ht="57" thickBot="1">
      <c r="A65" s="903"/>
      <c r="B65" s="926" t="s">
        <v>395</v>
      </c>
      <c r="C65" s="915" t="s">
        <v>396</v>
      </c>
    </row>
    <row r="66" spans="1:3" s="900" customFormat="1" ht="19.5" thickBot="1">
      <c r="A66" s="903"/>
      <c r="B66" s="927" t="s">
        <v>397</v>
      </c>
      <c r="C66" s="899" t="s">
        <v>398</v>
      </c>
    </row>
    <row r="67" spans="1:3" s="900" customFormat="1" ht="18.75">
      <c r="A67" s="903"/>
      <c r="B67" s="928" t="s">
        <v>399</v>
      </c>
      <c r="C67" s="1079" t="s">
        <v>427</v>
      </c>
    </row>
    <row r="68" spans="1:3" s="900" customFormat="1" ht="18.75">
      <c r="A68" s="903"/>
      <c r="B68" s="929" t="s">
        <v>400</v>
      </c>
      <c r="C68" s="1080"/>
    </row>
    <row r="69" spans="1:3" s="900" customFormat="1" ht="162" customHeight="1" thickBot="1">
      <c r="A69" s="903"/>
      <c r="B69" s="929" t="s">
        <v>401</v>
      </c>
      <c r="C69" s="1081"/>
    </row>
    <row r="70" spans="1:3" s="900" customFormat="1" ht="150.75" thickBot="1">
      <c r="A70" s="903"/>
      <c r="B70" s="930" t="s">
        <v>402</v>
      </c>
      <c r="C70" s="899" t="s">
        <v>403</v>
      </c>
    </row>
    <row r="71" spans="1:3" s="900" customFormat="1" ht="94.5" thickBot="1">
      <c r="A71" s="903"/>
      <c r="B71" s="931" t="s">
        <v>404</v>
      </c>
      <c r="C71" s="906" t="s">
        <v>405</v>
      </c>
    </row>
    <row r="72" spans="1:3" s="900" customFormat="1" ht="25.5" customHeight="1" thickBot="1">
      <c r="A72" s="918"/>
      <c r="B72" s="931" t="s">
        <v>406</v>
      </c>
      <c r="C72" s="899" t="s">
        <v>428</v>
      </c>
    </row>
    <row r="73" spans="1:3" s="900" customFormat="1" ht="94.5" thickBot="1">
      <c r="A73" s="932"/>
      <c r="B73" s="927" t="s">
        <v>407</v>
      </c>
      <c r="C73" s="899" t="s">
        <v>429</v>
      </c>
    </row>
    <row r="74" spans="1:3" s="900" customFormat="1" ht="19.5" thickBot="1">
      <c r="A74" s="933"/>
      <c r="B74" s="934"/>
      <c r="C74" s="935"/>
    </row>
    <row r="75" spans="1:3" ht="150.75" thickBot="1">
      <c r="A75" s="893">
        <v>6</v>
      </c>
      <c r="B75" s="936" t="s">
        <v>408</v>
      </c>
      <c r="C75" s="920" t="s">
        <v>409</v>
      </c>
    </row>
    <row r="76" spans="1:3" ht="142.5" customHeight="1" thickBot="1">
      <c r="A76" s="937">
        <v>7</v>
      </c>
      <c r="B76" s="938" t="s">
        <v>410</v>
      </c>
      <c r="C76" s="939" t="s">
        <v>411</v>
      </c>
    </row>
    <row r="77" spans="1:3" s="900" customFormat="1" ht="27" customHeight="1">
      <c r="A77" s="940"/>
      <c r="B77" s="941"/>
      <c r="C77" s="942"/>
    </row>
  </sheetData>
  <sheetProtection/>
  <mergeCells count="9">
    <mergeCell ref="C41:C45"/>
    <mergeCell ref="B60:C60"/>
    <mergeCell ref="C67:C69"/>
    <mergeCell ref="B1:C1"/>
    <mergeCell ref="B2:C2"/>
    <mergeCell ref="B3:C3"/>
    <mergeCell ref="B5:C5"/>
    <mergeCell ref="B6:C6"/>
    <mergeCell ref="B8:C8"/>
  </mergeCells>
  <printOptions/>
  <pageMargins left="0.38" right="0.42" top="0.48" bottom="0.47" header="0.31496062992125984" footer="0.31496062992125984"/>
  <pageSetup fitToHeight="3" fitToWidth="1" horizontalDpi="600" verticalDpi="600" orientation="portrait" paperSize="9" scale="53" r:id="rId1"/>
</worksheet>
</file>

<file path=xl/worksheets/sheet2.xml><?xml version="1.0" encoding="utf-8"?>
<worksheet xmlns="http://schemas.openxmlformats.org/spreadsheetml/2006/main" xmlns:r="http://schemas.openxmlformats.org/officeDocument/2006/relationships">
  <sheetPr>
    <pageSetUpPr fitToPage="1"/>
  </sheetPr>
  <dimension ref="A1:S107"/>
  <sheetViews>
    <sheetView tabSelected="1" zoomScale="75" zoomScaleNormal="75" zoomScalePageLayoutView="0" workbookViewId="0" topLeftCell="A91">
      <selection activeCell="G99" sqref="G99"/>
    </sheetView>
  </sheetViews>
  <sheetFormatPr defaultColWidth="10.375" defaultRowHeight="12.75"/>
  <cols>
    <col min="1" max="1" width="5.00390625" style="1" customWidth="1"/>
    <col min="2" max="2" width="5.25390625" style="2" customWidth="1"/>
    <col min="3" max="3" width="4.75390625" style="2" customWidth="1"/>
    <col min="4" max="4" width="72.75390625" style="368" customWidth="1"/>
    <col min="5" max="5" width="17.375" style="7" customWidth="1"/>
    <col min="6" max="6" width="3.875" style="8" customWidth="1"/>
    <col min="7" max="7" width="14.375" style="7" customWidth="1"/>
    <col min="8" max="8" width="18.125" style="9" customWidth="1"/>
    <col min="9" max="9" width="19.00390625" style="10" customWidth="1"/>
    <col min="10" max="10" width="18.75390625" style="11" customWidth="1"/>
    <col min="11" max="11" width="17.125" style="9" customWidth="1"/>
    <col min="12" max="12" width="16.75390625" style="10" customWidth="1"/>
    <col min="13" max="13" width="15.00390625" style="11" customWidth="1"/>
    <col min="14" max="14" width="13.75390625" style="9" customWidth="1"/>
    <col min="15" max="15" width="19.00390625" style="10" customWidth="1"/>
    <col min="16" max="16" width="20.375" style="4" customWidth="1"/>
    <col min="17" max="17" width="14.625" style="5" customWidth="1"/>
    <col min="18" max="18" width="10.625" style="5" bestFit="1" customWidth="1"/>
    <col min="19" max="16384" width="10.375" style="5" customWidth="1"/>
  </cols>
  <sheetData>
    <row r="1" spans="1:19" s="978" customFormat="1" ht="20.25" customHeight="1">
      <c r="A1" s="970"/>
      <c r="B1" s="971"/>
      <c r="C1" s="972"/>
      <c r="D1" s="1097" t="s">
        <v>0</v>
      </c>
      <c r="E1" s="1097"/>
      <c r="F1" s="1097"/>
      <c r="G1" s="1097"/>
      <c r="H1" s="1097"/>
      <c r="I1" s="1097"/>
      <c r="J1" s="1097"/>
      <c r="K1" s="1097"/>
      <c r="L1" s="973"/>
      <c r="M1" s="974"/>
      <c r="N1" s="975"/>
      <c r="O1" s="976"/>
      <c r="P1" s="974"/>
      <c r="Q1" s="975"/>
      <c r="R1" s="976"/>
      <c r="S1" s="977"/>
    </row>
    <row r="2" spans="1:19" s="978" customFormat="1" ht="18" customHeight="1">
      <c r="A2" s="970"/>
      <c r="B2" s="971"/>
      <c r="C2" s="1097" t="s">
        <v>1</v>
      </c>
      <c r="D2" s="1097"/>
      <c r="E2" s="1097"/>
      <c r="F2" s="1097"/>
      <c r="G2" s="1097"/>
      <c r="H2" s="1097"/>
      <c r="I2" s="1097"/>
      <c r="J2" s="1097"/>
      <c r="K2" s="1097"/>
      <c r="L2" s="1097"/>
      <c r="M2" s="974"/>
      <c r="N2" s="975"/>
      <c r="O2" s="976"/>
      <c r="P2" s="974"/>
      <c r="Q2" s="975"/>
      <c r="R2" s="976"/>
      <c r="S2" s="977"/>
    </row>
    <row r="3" spans="1:16" s="985" customFormat="1" ht="22.5" customHeight="1">
      <c r="A3" s="979"/>
      <c r="B3" s="980"/>
      <c r="C3" s="980"/>
      <c r="D3" s="1098" t="s">
        <v>430</v>
      </c>
      <c r="E3" s="1098"/>
      <c r="F3" s="1098"/>
      <c r="G3" s="1098"/>
      <c r="H3" s="1098"/>
      <c r="I3" s="1098"/>
      <c r="J3" s="1098"/>
      <c r="K3" s="981"/>
      <c r="L3" s="982"/>
      <c r="M3" s="983"/>
      <c r="N3" s="981"/>
      <c r="O3" s="982"/>
      <c r="P3" s="984"/>
    </row>
    <row r="4" spans="1:16" s="985" customFormat="1" ht="18" customHeight="1">
      <c r="A4" s="979"/>
      <c r="B4" s="980"/>
      <c r="C4" s="980"/>
      <c r="D4" s="1099" t="s">
        <v>302</v>
      </c>
      <c r="E4" s="1099"/>
      <c r="F4" s="6"/>
      <c r="G4" s="6"/>
      <c r="H4" s="3"/>
      <c r="I4" s="3"/>
      <c r="J4" s="3"/>
      <c r="K4" s="981"/>
      <c r="L4" s="982"/>
      <c r="M4" s="983"/>
      <c r="N4" s="981"/>
      <c r="O4" s="982"/>
      <c r="P4" s="984"/>
    </row>
    <row r="5" spans="1:16" s="985" customFormat="1" ht="21" customHeight="1" thickBot="1">
      <c r="A5" s="979"/>
      <c r="B5" s="980"/>
      <c r="C5" s="980"/>
      <c r="D5" s="445" t="s">
        <v>2</v>
      </c>
      <c r="E5" s="986"/>
      <c r="F5" s="987"/>
      <c r="G5" s="986"/>
      <c r="H5" s="988"/>
      <c r="I5" s="989"/>
      <c r="J5" s="990"/>
      <c r="K5" s="988"/>
      <c r="L5" s="989"/>
      <c r="M5" s="990"/>
      <c r="N5" s="988"/>
      <c r="O5" s="989"/>
      <c r="P5" s="984"/>
    </row>
    <row r="6" spans="1:16" s="27" customFormat="1" ht="63.75" thickBot="1">
      <c r="A6" s="12"/>
      <c r="B6" s="13"/>
      <c r="C6" s="14"/>
      <c r="D6" s="15" t="s">
        <v>3</v>
      </c>
      <c r="E6" s="16" t="s">
        <v>303</v>
      </c>
      <c r="F6" s="17"/>
      <c r="G6" s="697" t="s">
        <v>304</v>
      </c>
      <c r="H6" s="18" t="s">
        <v>4</v>
      </c>
      <c r="I6" s="19" t="s">
        <v>5</v>
      </c>
      <c r="J6" s="20" t="s">
        <v>6</v>
      </c>
      <c r="K6" s="21" t="s">
        <v>4</v>
      </c>
      <c r="L6" s="22" t="s">
        <v>7</v>
      </c>
      <c r="M6" s="23" t="s">
        <v>6</v>
      </c>
      <c r="N6" s="24" t="s">
        <v>4</v>
      </c>
      <c r="O6" s="25" t="s">
        <v>8</v>
      </c>
      <c r="P6" s="26" t="s">
        <v>9</v>
      </c>
    </row>
    <row r="7" spans="1:16" s="41" customFormat="1" ht="20.25" customHeight="1" thickBot="1">
      <c r="A7" s="28"/>
      <c r="B7" s="29"/>
      <c r="C7" s="30"/>
      <c r="D7" s="31" t="s">
        <v>10</v>
      </c>
      <c r="E7" s="32">
        <f>I7+L7+O7</f>
        <v>12824.69</v>
      </c>
      <c r="F7" s="33"/>
      <c r="G7" s="34"/>
      <c r="H7" s="35"/>
      <c r="I7" s="36">
        <v>10262.9</v>
      </c>
      <c r="J7" s="37"/>
      <c r="K7" s="38"/>
      <c r="L7" s="39">
        <v>940.7</v>
      </c>
      <c r="M7" s="37"/>
      <c r="N7" s="38"/>
      <c r="O7" s="36">
        <v>1621.09</v>
      </c>
      <c r="P7" s="40"/>
    </row>
    <row r="8" spans="1:16" ht="32.25" thickBot="1">
      <c r="A8" s="42"/>
      <c r="B8" s="43"/>
      <c r="C8" s="44"/>
      <c r="D8" s="45" t="s">
        <v>11</v>
      </c>
      <c r="E8" s="46"/>
      <c r="F8" s="47"/>
      <c r="G8" s="48"/>
      <c r="H8" s="49"/>
      <c r="I8" s="50">
        <f>I7/E7</f>
        <v>0.800245464022912</v>
      </c>
      <c r="J8" s="51"/>
      <c r="K8" s="52"/>
      <c r="L8" s="50">
        <f>L7/E7</f>
        <v>0.07335070087464103</v>
      </c>
      <c r="M8" s="51"/>
      <c r="N8" s="52"/>
      <c r="O8" s="50">
        <f>O7/E7</f>
        <v>0.1264038351024469</v>
      </c>
      <c r="P8" s="53"/>
    </row>
    <row r="9" spans="1:16" ht="40.5" customHeight="1" thickBot="1">
      <c r="A9" s="42"/>
      <c r="B9" s="54"/>
      <c r="C9" s="55"/>
      <c r="D9" s="56" t="s">
        <v>12</v>
      </c>
      <c r="E9" s="32">
        <f>I7+L7</f>
        <v>11203.6</v>
      </c>
      <c r="F9" s="33"/>
      <c r="G9" s="57"/>
      <c r="H9" s="58"/>
      <c r="I9" s="59">
        <f>I7/E9</f>
        <v>0.91603591702667</v>
      </c>
      <c r="J9" s="60"/>
      <c r="K9" s="61"/>
      <c r="L9" s="59">
        <f>L7/E9</f>
        <v>0.08396408297333001</v>
      </c>
      <c r="M9" s="60"/>
      <c r="N9" s="61"/>
      <c r="O9" s="59"/>
      <c r="P9" s="62"/>
    </row>
    <row r="10" spans="1:16" ht="16.5" thickBot="1">
      <c r="A10" s="1100"/>
      <c r="B10" s="1101"/>
      <c r="C10" s="1101"/>
      <c r="D10" s="1101"/>
      <c r="E10" s="1101"/>
      <c r="F10" s="1101"/>
      <c r="G10" s="1101"/>
      <c r="H10" s="1101"/>
      <c r="I10" s="1101"/>
      <c r="J10" s="1101"/>
      <c r="K10" s="1101"/>
      <c r="L10" s="1101"/>
      <c r="M10" s="1101"/>
      <c r="N10" s="1101"/>
      <c r="O10" s="1101"/>
      <c r="P10" s="1102"/>
    </row>
    <row r="11" spans="1:16" ht="47.25" customHeight="1" thickBot="1">
      <c r="A11" s="63">
        <v>1</v>
      </c>
      <c r="B11" s="64"/>
      <c r="C11" s="65"/>
      <c r="D11" s="66" t="s">
        <v>13</v>
      </c>
      <c r="E11" s="67">
        <f>E12+E17+E13+E15+E16+E18+E20</f>
        <v>10058198.4825</v>
      </c>
      <c r="F11" s="68"/>
      <c r="G11" s="67">
        <f>SUM(G12:G20)</f>
        <v>978321.2158333333</v>
      </c>
      <c r="H11" s="69"/>
      <c r="I11" s="70">
        <f>SUM(I12:I20)</f>
        <v>802206.3385903528</v>
      </c>
      <c r="J11" s="71"/>
      <c r="K11" s="72"/>
      <c r="L11" s="70">
        <f>SUM(L12:L20)</f>
        <v>128044.86656571734</v>
      </c>
      <c r="M11" s="71"/>
      <c r="N11" s="72"/>
      <c r="O11" s="70">
        <f>SUM(O12:O20)</f>
        <v>48149.93067726332</v>
      </c>
      <c r="P11" s="370"/>
    </row>
    <row r="12" spans="1:16" s="82" customFormat="1" ht="54" customHeight="1" thickBot="1">
      <c r="A12" s="73"/>
      <c r="B12" s="74">
        <v>1</v>
      </c>
      <c r="C12" s="75"/>
      <c r="D12" s="698" t="s">
        <v>305</v>
      </c>
      <c r="E12" s="699">
        <f>G12*12</f>
        <v>5400000</v>
      </c>
      <c r="F12" s="700"/>
      <c r="G12" s="701">
        <v>450000</v>
      </c>
      <c r="H12" s="76"/>
      <c r="I12" s="77">
        <v>380000</v>
      </c>
      <c r="J12" s="78"/>
      <c r="K12" s="79"/>
      <c r="L12" s="80">
        <v>65000</v>
      </c>
      <c r="M12" s="81"/>
      <c r="N12" s="79"/>
      <c r="O12" s="80">
        <v>5000</v>
      </c>
      <c r="P12" s="369"/>
    </row>
    <row r="13" spans="1:16" s="713" customFormat="1" ht="62.25" customHeight="1" thickBot="1">
      <c r="A13" s="702"/>
      <c r="B13" s="703">
        <v>3</v>
      </c>
      <c r="C13" s="704"/>
      <c r="D13" s="705" t="s">
        <v>306</v>
      </c>
      <c r="E13" s="706">
        <f>E37</f>
        <v>2214773.4225</v>
      </c>
      <c r="F13" s="677"/>
      <c r="G13" s="707">
        <f>G37</f>
        <v>284426.0358333333</v>
      </c>
      <c r="H13" s="708"/>
      <c r="I13" s="709">
        <f>I37</f>
        <v>238550.25337693555</v>
      </c>
      <c r="J13" s="710">
        <f>I13/I7</f>
        <v>23.243942099887512</v>
      </c>
      <c r="K13" s="711"/>
      <c r="L13" s="709">
        <f>L37</f>
        <v>21469.505379134454</v>
      </c>
      <c r="M13" s="710">
        <f>L13/L7</f>
        <v>22.822903560257735</v>
      </c>
      <c r="N13" s="712"/>
      <c r="O13" s="709">
        <f>O37</f>
        <v>24486.197077263318</v>
      </c>
      <c r="P13" s="710">
        <f>P37</f>
        <v>15.10477337918519</v>
      </c>
    </row>
    <row r="14" spans="1:16" ht="18.75" customHeight="1" thickBot="1">
      <c r="A14" s="714"/>
      <c r="B14" s="715"/>
      <c r="C14" s="716"/>
      <c r="D14" s="717" t="s">
        <v>307</v>
      </c>
      <c r="E14" s="94"/>
      <c r="F14" s="95"/>
      <c r="G14" s="718"/>
      <c r="H14" s="719"/>
      <c r="I14" s="720"/>
      <c r="J14" s="721"/>
      <c r="K14" s="722"/>
      <c r="L14" s="720"/>
      <c r="M14" s="121"/>
      <c r="N14" s="98"/>
      <c r="O14" s="385"/>
      <c r="P14" s="723"/>
    </row>
    <row r="15" spans="1:16" s="105" customFormat="1" ht="21.75" customHeight="1" thickBot="1">
      <c r="A15" s="83"/>
      <c r="B15" s="84">
        <v>4</v>
      </c>
      <c r="C15" s="99"/>
      <c r="D15" s="724" t="s">
        <v>308</v>
      </c>
      <c r="E15" s="94">
        <f>G15*12</f>
        <v>148368</v>
      </c>
      <c r="F15" s="101"/>
      <c r="G15" s="725">
        <f>G87</f>
        <v>12364</v>
      </c>
      <c r="H15" s="726">
        <v>0.916</v>
      </c>
      <c r="I15" s="727">
        <f>G15*H15</f>
        <v>11325.424</v>
      </c>
      <c r="J15" s="728">
        <f>I15/I7</f>
        <v>1.1035305810248566</v>
      </c>
      <c r="K15" s="729">
        <v>0.084</v>
      </c>
      <c r="L15" s="727">
        <f>G15*K15</f>
        <v>1038.576</v>
      </c>
      <c r="M15" s="730">
        <f>L15/L7</f>
        <v>1.1040459232486446</v>
      </c>
      <c r="N15" s="104"/>
      <c r="O15" s="395"/>
      <c r="P15" s="731"/>
    </row>
    <row r="16" spans="1:16" s="105" customFormat="1" ht="16.5" thickBot="1">
      <c r="A16" s="83"/>
      <c r="B16" s="84">
        <v>5</v>
      </c>
      <c r="C16" s="99"/>
      <c r="D16" s="732" t="s">
        <v>17</v>
      </c>
      <c r="E16" s="733">
        <f>E88</f>
        <v>297313.19999999995</v>
      </c>
      <c r="F16" s="734"/>
      <c r="G16" s="725">
        <f>G88</f>
        <v>24776.1</v>
      </c>
      <c r="H16" s="106">
        <v>0.916</v>
      </c>
      <c r="I16" s="387">
        <f>I88</f>
        <v>22694.9076</v>
      </c>
      <c r="J16" s="735">
        <f>J88</f>
        <v>2.21135425659414</v>
      </c>
      <c r="K16" s="88">
        <v>0.084</v>
      </c>
      <c r="L16" s="387">
        <f>K16*G16</f>
        <v>2081.1924</v>
      </c>
      <c r="M16" s="405">
        <f>L16/L7</f>
        <v>2.212386945891357</v>
      </c>
      <c r="N16" s="88"/>
      <c r="O16" s="387">
        <v>0</v>
      </c>
      <c r="P16" s="731"/>
    </row>
    <row r="17" spans="1:16" s="89" customFormat="1" ht="16.5" thickBot="1">
      <c r="A17" s="83"/>
      <c r="B17" s="84">
        <v>2</v>
      </c>
      <c r="C17" s="85"/>
      <c r="D17" s="374" t="s">
        <v>309</v>
      </c>
      <c r="E17" s="67">
        <f>G17*12</f>
        <v>307792.56</v>
      </c>
      <c r="F17" s="68"/>
      <c r="G17" s="736">
        <f>E7*2</f>
        <v>25649.38</v>
      </c>
      <c r="H17" s="87"/>
      <c r="I17" s="387">
        <f>I7*J17</f>
        <v>20525.8</v>
      </c>
      <c r="J17" s="405">
        <v>2</v>
      </c>
      <c r="K17" s="88"/>
      <c r="L17" s="387">
        <f>L7*M17</f>
        <v>1881.4</v>
      </c>
      <c r="M17" s="405">
        <v>2</v>
      </c>
      <c r="N17" s="88"/>
      <c r="O17" s="387">
        <f>P17*O7</f>
        <v>3242.18</v>
      </c>
      <c r="P17" s="731">
        <v>2</v>
      </c>
    </row>
    <row r="18" spans="1:16" ht="67.5" customHeight="1" thickBot="1">
      <c r="A18" s="63"/>
      <c r="B18" s="64">
        <v>6</v>
      </c>
      <c r="C18" s="107"/>
      <c r="D18" s="108" t="s">
        <v>310</v>
      </c>
      <c r="E18" s="67">
        <f>E91</f>
        <v>1629951.3</v>
      </c>
      <c r="F18" s="737"/>
      <c r="G18" s="736">
        <f>G91</f>
        <v>181105.7</v>
      </c>
      <c r="H18" s="109"/>
      <c r="I18" s="388">
        <f>I91</f>
        <v>129109.95361341712</v>
      </c>
      <c r="J18" s="401">
        <f>J103</f>
        <v>7.684681210963763</v>
      </c>
      <c r="K18" s="96"/>
      <c r="L18" s="388">
        <f>L91</f>
        <v>36574.19278658289</v>
      </c>
      <c r="M18" s="401">
        <f>M103</f>
        <v>8.111581375571383</v>
      </c>
      <c r="N18" s="96"/>
      <c r="O18" s="388">
        <f>O91</f>
        <v>15421.553600000001</v>
      </c>
      <c r="P18" s="723">
        <f>P103</f>
        <v>9.513076756996837</v>
      </c>
    </row>
    <row r="19" spans="1:16" s="383" customFormat="1" ht="34.5" customHeight="1" thickBot="1">
      <c r="A19" s="406"/>
      <c r="B19" s="407"/>
      <c r="C19" s="408"/>
      <c r="D19" s="409"/>
      <c r="E19" s="380"/>
      <c r="F19" s="375"/>
      <c r="G19" s="380"/>
      <c r="H19" s="410"/>
      <c r="I19" s="738" t="s">
        <v>85</v>
      </c>
      <c r="J19" s="739">
        <f>J13+J17+J18</f>
        <v>32.92862331085128</v>
      </c>
      <c r="K19" s="740"/>
      <c r="L19" s="741" t="s">
        <v>85</v>
      </c>
      <c r="M19" s="739">
        <f>M13+M17+M18</f>
        <v>32.93448493582912</v>
      </c>
      <c r="N19" s="740"/>
      <c r="O19" s="741" t="s">
        <v>85</v>
      </c>
      <c r="P19" s="739">
        <f>P13+P17+P18</f>
        <v>26.617850136182028</v>
      </c>
    </row>
    <row r="20" spans="1:16" s="105" customFormat="1" ht="16.5" thickBot="1">
      <c r="A20" s="113"/>
      <c r="B20" s="114">
        <v>7</v>
      </c>
      <c r="C20" s="115"/>
      <c r="D20" s="116" t="s">
        <v>311</v>
      </c>
      <c r="E20" s="742">
        <v>60000</v>
      </c>
      <c r="F20" s="743"/>
      <c r="G20" s="744"/>
      <c r="H20" s="117" t="s">
        <v>19</v>
      </c>
      <c r="I20" s="117"/>
      <c r="J20" s="117"/>
      <c r="K20" s="117"/>
      <c r="L20" s="117"/>
      <c r="M20" s="117"/>
      <c r="N20" s="117"/>
      <c r="O20" s="117"/>
      <c r="P20" s="118"/>
    </row>
    <row r="21" spans="1:16" s="105" customFormat="1" ht="16.5" thickBot="1">
      <c r="A21" s="119"/>
      <c r="B21" s="120"/>
      <c r="C21" s="99"/>
      <c r="D21" s="86"/>
      <c r="E21" s="111"/>
      <c r="F21" s="68"/>
      <c r="G21" s="33"/>
      <c r="H21" s="95"/>
      <c r="I21" s="95"/>
      <c r="J21" s="121"/>
      <c r="K21" s="95"/>
      <c r="L21" s="95"/>
      <c r="M21" s="121"/>
      <c r="N21" s="95"/>
      <c r="O21" s="95"/>
      <c r="P21" s="745"/>
    </row>
    <row r="22" spans="1:16" ht="16.5" thickBot="1">
      <c r="A22" s="63">
        <v>2</v>
      </c>
      <c r="B22" s="123"/>
      <c r="C22" s="124"/>
      <c r="D22" s="66" t="s">
        <v>20</v>
      </c>
      <c r="E22" s="67">
        <f>G22*12</f>
        <v>36600</v>
      </c>
      <c r="F22" s="111"/>
      <c r="G22" s="67">
        <f>SUM(G23:G33)</f>
        <v>3050</v>
      </c>
      <c r="H22" s="87"/>
      <c r="I22" s="746"/>
      <c r="J22" s="747"/>
      <c r="K22" s="748"/>
      <c r="L22" s="749"/>
      <c r="M22" s="750"/>
      <c r="N22" s="748"/>
      <c r="O22" s="749"/>
      <c r="P22" s="751"/>
    </row>
    <row r="23" spans="1:16" s="143" customFormat="1" ht="15.75">
      <c r="A23" s="132"/>
      <c r="B23" s="133">
        <v>1</v>
      </c>
      <c r="C23" s="134"/>
      <c r="D23" s="135" t="s">
        <v>21</v>
      </c>
      <c r="E23" s="752"/>
      <c r="F23" s="753"/>
      <c r="G23" s="754"/>
      <c r="H23" s="136"/>
      <c r="I23" s="137"/>
      <c r="J23" s="138"/>
      <c r="K23" s="139"/>
      <c r="L23" s="140"/>
      <c r="M23" s="141"/>
      <c r="N23" s="139"/>
      <c r="O23" s="140"/>
      <c r="P23" s="142"/>
    </row>
    <row r="24" spans="1:16" s="143" customFormat="1" ht="15.75">
      <c r="A24" s="144" t="s">
        <v>22</v>
      </c>
      <c r="B24" s="145"/>
      <c r="C24" s="146"/>
      <c r="D24" s="147" t="s">
        <v>23</v>
      </c>
      <c r="E24" s="755">
        <f>G24*12</f>
        <v>6000</v>
      </c>
      <c r="F24" s="756"/>
      <c r="G24" s="757">
        <v>500</v>
      </c>
      <c r="H24" s="148"/>
      <c r="I24" s="149"/>
      <c r="J24" s="150"/>
      <c r="K24" s="151"/>
      <c r="L24" s="152"/>
      <c r="M24" s="153"/>
      <c r="N24" s="151"/>
      <c r="O24" s="152"/>
      <c r="P24" s="154"/>
    </row>
    <row r="25" spans="1:16" s="143" customFormat="1" ht="15.75">
      <c r="A25" s="144"/>
      <c r="B25" s="145"/>
      <c r="C25" s="146"/>
      <c r="D25" s="147" t="s">
        <v>24</v>
      </c>
      <c r="E25" s="755">
        <f>G25*12</f>
        <v>6600</v>
      </c>
      <c r="F25" s="756"/>
      <c r="G25" s="757">
        <v>550</v>
      </c>
      <c r="H25" s="148"/>
      <c r="I25" s="149"/>
      <c r="J25" s="150"/>
      <c r="K25" s="151"/>
      <c r="L25" s="152"/>
      <c r="M25" s="153"/>
      <c r="N25" s="151"/>
      <c r="O25" s="152"/>
      <c r="P25" s="154"/>
    </row>
    <row r="26" spans="1:16" s="143" customFormat="1" ht="15.75">
      <c r="A26" s="144"/>
      <c r="B26" s="145"/>
      <c r="C26" s="146"/>
      <c r="D26" s="147" t="s">
        <v>25</v>
      </c>
      <c r="E26" s="755">
        <f>G26*12</f>
        <v>24000</v>
      </c>
      <c r="F26" s="756"/>
      <c r="G26" s="757">
        <v>2000</v>
      </c>
      <c r="H26" s="148"/>
      <c r="I26" s="149"/>
      <c r="J26" s="150"/>
      <c r="K26" s="151"/>
      <c r="L26" s="152"/>
      <c r="M26" s="153"/>
      <c r="N26" s="151"/>
      <c r="O26" s="152"/>
      <c r="P26" s="154"/>
    </row>
    <row r="27" spans="1:16" s="143" customFormat="1" ht="15.75">
      <c r="A27" s="144"/>
      <c r="B27" s="145"/>
      <c r="C27" s="146"/>
      <c r="D27" s="147" t="s">
        <v>26</v>
      </c>
      <c r="E27" s="758">
        <v>0</v>
      </c>
      <c r="F27" s="759"/>
      <c r="G27" s="757">
        <v>0</v>
      </c>
      <c r="H27" s="148"/>
      <c r="I27" s="149"/>
      <c r="J27" s="150"/>
      <c r="K27" s="151"/>
      <c r="L27" s="152"/>
      <c r="M27" s="153"/>
      <c r="N27" s="151"/>
      <c r="O27" s="152"/>
      <c r="P27" s="154"/>
    </row>
    <row r="28" spans="1:16" s="143" customFormat="1" ht="15.75">
      <c r="A28" s="144"/>
      <c r="B28" s="145"/>
      <c r="C28" s="146"/>
      <c r="D28" s="147" t="s">
        <v>27</v>
      </c>
      <c r="E28" s="758">
        <v>0</v>
      </c>
      <c r="F28" s="759"/>
      <c r="G28" s="757">
        <v>0</v>
      </c>
      <c r="H28" s="148"/>
      <c r="I28" s="149"/>
      <c r="J28" s="150"/>
      <c r="K28" s="151"/>
      <c r="L28" s="152"/>
      <c r="M28" s="153"/>
      <c r="N28" s="151"/>
      <c r="O28" s="152"/>
      <c r="P28" s="154"/>
    </row>
    <row r="29" spans="1:16" s="143" customFormat="1" ht="15.75">
      <c r="A29" s="144"/>
      <c r="B29" s="145">
        <v>2</v>
      </c>
      <c r="C29" s="146"/>
      <c r="D29" s="155" t="s">
        <v>28</v>
      </c>
      <c r="E29" s="760"/>
      <c r="F29" s="761"/>
      <c r="G29" s="757">
        <v>0</v>
      </c>
      <c r="H29" s="156"/>
      <c r="I29" s="157"/>
      <c r="J29" s="158"/>
      <c r="K29" s="159"/>
      <c r="L29" s="160"/>
      <c r="M29" s="161"/>
      <c r="N29" s="159"/>
      <c r="O29" s="160"/>
      <c r="P29" s="154"/>
    </row>
    <row r="30" spans="1:16" s="143" customFormat="1" ht="15.75">
      <c r="A30" s="144"/>
      <c r="B30" s="145"/>
      <c r="C30" s="146"/>
      <c r="D30" s="147" t="s">
        <v>29</v>
      </c>
      <c r="E30" s="758">
        <v>0</v>
      </c>
      <c r="F30" s="759"/>
      <c r="G30" s="757">
        <v>0</v>
      </c>
      <c r="H30" s="148"/>
      <c r="I30" s="149"/>
      <c r="J30" s="150"/>
      <c r="K30" s="151"/>
      <c r="L30" s="152"/>
      <c r="M30" s="153"/>
      <c r="N30" s="151"/>
      <c r="O30" s="152"/>
      <c r="P30" s="154"/>
    </row>
    <row r="31" spans="1:16" s="171" customFormat="1" ht="15.75">
      <c r="A31" s="162"/>
      <c r="B31" s="163"/>
      <c r="C31" s="164"/>
      <c r="D31" s="147" t="s">
        <v>30</v>
      </c>
      <c r="E31" s="755">
        <f>G31*12</f>
        <v>0</v>
      </c>
      <c r="F31" s="756"/>
      <c r="G31" s="757">
        <v>0</v>
      </c>
      <c r="H31" s="165"/>
      <c r="I31" s="166"/>
      <c r="J31" s="167"/>
      <c r="K31" s="168"/>
      <c r="L31" s="163"/>
      <c r="M31" s="169"/>
      <c r="N31" s="168"/>
      <c r="O31" s="163"/>
      <c r="P31" s="170"/>
    </row>
    <row r="32" spans="1:16" s="143" customFormat="1" ht="54" customHeight="1">
      <c r="A32" s="144"/>
      <c r="B32" s="145"/>
      <c r="C32" s="146"/>
      <c r="D32" s="172" t="s">
        <v>31</v>
      </c>
      <c r="E32" s="762"/>
      <c r="F32" s="763"/>
      <c r="G32" s="764">
        <v>0</v>
      </c>
      <c r="H32" s="1103"/>
      <c r="I32" s="1104"/>
      <c r="J32" s="1104"/>
      <c r="K32" s="1104"/>
      <c r="L32" s="1104"/>
      <c r="M32" s="1104"/>
      <c r="N32" s="1104"/>
      <c r="O32" s="1104"/>
      <c r="P32" s="1105"/>
    </row>
    <row r="33" spans="1:16" s="143" customFormat="1" ht="16.5" thickBot="1">
      <c r="A33" s="173"/>
      <c r="B33" s="174"/>
      <c r="C33" s="175"/>
      <c r="D33" s="176" t="s">
        <v>32</v>
      </c>
      <c r="E33" s="765">
        <v>0</v>
      </c>
      <c r="F33" s="766"/>
      <c r="G33" s="767">
        <v>0</v>
      </c>
      <c r="H33" s="177"/>
      <c r="I33" s="178"/>
      <c r="J33" s="179"/>
      <c r="K33" s="180"/>
      <c r="L33" s="181"/>
      <c r="M33" s="182"/>
      <c r="N33" s="180"/>
      <c r="O33" s="181"/>
      <c r="P33" s="183"/>
    </row>
    <row r="34" spans="1:16" s="105" customFormat="1" ht="15.75">
      <c r="A34" s="184"/>
      <c r="B34" s="185"/>
      <c r="C34" s="185"/>
      <c r="D34" s="186"/>
      <c r="E34" s="187"/>
      <c r="F34" s="187"/>
      <c r="G34" s="188"/>
      <c r="H34" s="189"/>
      <c r="I34" s="185"/>
      <c r="J34" s="190"/>
      <c r="K34" s="189"/>
      <c r="L34" s="185"/>
      <c r="M34" s="190"/>
      <c r="N34" s="189"/>
      <c r="O34" s="185"/>
      <c r="P34" s="191"/>
    </row>
    <row r="35" spans="1:16" s="105" customFormat="1" ht="15.75">
      <c r="A35" s="192"/>
      <c r="B35" s="193"/>
      <c r="C35" s="193"/>
      <c r="D35" s="194"/>
      <c r="E35" s="195"/>
      <c r="F35" s="195"/>
      <c r="G35" s="196"/>
      <c r="H35" s="197"/>
      <c r="I35" s="193"/>
      <c r="J35" s="198"/>
      <c r="K35" s="197"/>
      <c r="L35" s="193"/>
      <c r="M35" s="198"/>
      <c r="N35" s="197"/>
      <c r="O35" s="193"/>
      <c r="P35" s="199"/>
    </row>
    <row r="36" spans="1:16" s="105" customFormat="1" ht="42.75" customHeight="1" thickBot="1">
      <c r="A36" s="200"/>
      <c r="B36" s="201"/>
      <c r="C36" s="201"/>
      <c r="D36" s="202" t="s">
        <v>33</v>
      </c>
      <c r="E36" s="203"/>
      <c r="F36" s="203"/>
      <c r="G36" s="204"/>
      <c r="H36" s="205"/>
      <c r="I36" s="206"/>
      <c r="J36" s="207"/>
      <c r="K36" s="208"/>
      <c r="L36" s="209"/>
      <c r="M36" s="210"/>
      <c r="N36" s="211"/>
      <c r="O36" s="206"/>
      <c r="P36" s="212"/>
    </row>
    <row r="37" spans="1:16" s="220" customFormat="1" ht="57" thickBot="1">
      <c r="A37" s="768">
        <v>1</v>
      </c>
      <c r="B37" s="769">
        <v>3</v>
      </c>
      <c r="C37" s="770"/>
      <c r="D37" s="771" t="s">
        <v>306</v>
      </c>
      <c r="E37" s="213">
        <f>SUM(E38,E54,E77,E83)</f>
        <v>2214773.4225</v>
      </c>
      <c r="F37" s="772"/>
      <c r="G37" s="213">
        <f>SUM(G38,G54,G77,G83,G87,G88)</f>
        <v>284426.0358333333</v>
      </c>
      <c r="H37" s="214"/>
      <c r="I37" s="213">
        <f>SUM(I38,I54,I77,I83,I87,I88)</f>
        <v>238550.25337693555</v>
      </c>
      <c r="J37" s="215">
        <f>I37/I7</f>
        <v>23.243942099887512</v>
      </c>
      <c r="K37" s="216"/>
      <c r="L37" s="213">
        <f>SUM(L38,L54,L77,L83,L87,L88)</f>
        <v>21469.505379134454</v>
      </c>
      <c r="M37" s="217">
        <f>L37/L7</f>
        <v>22.822903560257735</v>
      </c>
      <c r="N37" s="218"/>
      <c r="O37" s="213">
        <f>SUM(O38,O54,O77,O83,O87,O88)</f>
        <v>24486.197077263318</v>
      </c>
      <c r="P37" s="219">
        <f>O37/O7</f>
        <v>15.10477337918519</v>
      </c>
    </row>
    <row r="38" spans="1:16" ht="21" customHeight="1" thickBot="1">
      <c r="A38" s="221"/>
      <c r="B38" s="222"/>
      <c r="C38" s="124">
        <v>1</v>
      </c>
      <c r="D38" s="66" t="s">
        <v>312</v>
      </c>
      <c r="E38" s="94">
        <f>E39+E40+E43+E44+E45+E48+E49+E51+E52+E53</f>
        <v>755374.5</v>
      </c>
      <c r="F38" s="101"/>
      <c r="G38" s="94">
        <f>G39+G40+G43+G44+G45+G48+G49+G50+G51+G52+G53</f>
        <v>85130.5</v>
      </c>
      <c r="H38" s="223"/>
      <c r="I38" s="94">
        <f>I39+I40+I43+I44+I45+I48+I49+I50+I51+I52+I53</f>
        <v>68700.84610000001</v>
      </c>
      <c r="J38" s="224"/>
      <c r="K38" s="225"/>
      <c r="L38" s="94">
        <f>L39+L40+L43+L44+L45+L48+L49+L50+L51+L52+L53</f>
        <v>6065.078700000001</v>
      </c>
      <c r="M38" s="226"/>
      <c r="N38" s="225"/>
      <c r="O38" s="94">
        <f>O39+O40+O43+O44+O45+O48+O49+O50+O51+O52+O53</f>
        <v>10444.495200000001</v>
      </c>
      <c r="P38" s="227"/>
    </row>
    <row r="39" spans="1:16" ht="16.5" thickBot="1">
      <c r="A39" s="228"/>
      <c r="B39" s="133"/>
      <c r="C39" s="134"/>
      <c r="D39" s="229" t="s">
        <v>36</v>
      </c>
      <c r="E39" s="94">
        <f>G39*9</f>
        <v>18000</v>
      </c>
      <c r="F39" s="773"/>
      <c r="G39" s="774">
        <v>2000</v>
      </c>
      <c r="H39" s="775">
        <v>0.8002</v>
      </c>
      <c r="I39" s="230">
        <f>G39*H39</f>
        <v>1600.4</v>
      </c>
      <c r="J39" s="231"/>
      <c r="K39" s="232">
        <v>0.0734</v>
      </c>
      <c r="L39" s="230">
        <f>G39*K39</f>
        <v>146.8</v>
      </c>
      <c r="M39" s="231"/>
      <c r="N39" s="232">
        <v>0.1264</v>
      </c>
      <c r="O39" s="230">
        <f>G39*N39</f>
        <v>252.8</v>
      </c>
      <c r="P39" s="233"/>
    </row>
    <row r="40" spans="1:16" ht="16.5" thickBot="1">
      <c r="A40" s="234"/>
      <c r="B40" s="145"/>
      <c r="C40" s="146"/>
      <c r="D40" s="235" t="s">
        <v>37</v>
      </c>
      <c r="E40" s="94">
        <f aca="true" t="shared" si="0" ref="E40:E53">G40*9</f>
        <v>85500</v>
      </c>
      <c r="F40" s="773"/>
      <c r="G40" s="776">
        <f>G41+G42</f>
        <v>9500</v>
      </c>
      <c r="H40" s="777">
        <v>0.8002</v>
      </c>
      <c r="I40" s="236">
        <f aca="true" t="shared" si="1" ref="I40:I47">G40*H40</f>
        <v>7601.900000000001</v>
      </c>
      <c r="J40" s="237"/>
      <c r="K40" s="238">
        <v>0.0734</v>
      </c>
      <c r="L40" s="236">
        <f aca="true" t="shared" si="2" ref="L40:L47">G40*K40</f>
        <v>697.3000000000001</v>
      </c>
      <c r="M40" s="237"/>
      <c r="N40" s="238">
        <v>0.1264</v>
      </c>
      <c r="O40" s="236">
        <f aca="true" t="shared" si="3" ref="O40:O47">G40*N40</f>
        <v>1200.8000000000002</v>
      </c>
      <c r="P40" s="239"/>
    </row>
    <row r="41" spans="1:16" s="244" customFormat="1" ht="16.5" thickBot="1">
      <c r="A41" s="240"/>
      <c r="B41" s="241"/>
      <c r="C41" s="242"/>
      <c r="D41" s="243" t="s">
        <v>38</v>
      </c>
      <c r="E41" s="94">
        <f t="shared" si="0"/>
        <v>18000</v>
      </c>
      <c r="F41" s="773"/>
      <c r="G41" s="778">
        <v>2000</v>
      </c>
      <c r="H41" s="777">
        <v>0.8002</v>
      </c>
      <c r="I41" s="236">
        <f t="shared" si="1"/>
        <v>1600.4</v>
      </c>
      <c r="J41" s="237"/>
      <c r="K41" s="238">
        <v>0.0734</v>
      </c>
      <c r="L41" s="236">
        <f t="shared" si="2"/>
        <v>146.8</v>
      </c>
      <c r="M41" s="237"/>
      <c r="N41" s="238">
        <v>0.1264</v>
      </c>
      <c r="O41" s="236">
        <f t="shared" si="3"/>
        <v>252.8</v>
      </c>
      <c r="P41" s="239"/>
    </row>
    <row r="42" spans="1:16" s="244" customFormat="1" ht="16.5" thickBot="1">
      <c r="A42" s="240"/>
      <c r="B42" s="241"/>
      <c r="C42" s="242"/>
      <c r="D42" s="243" t="s">
        <v>39</v>
      </c>
      <c r="E42" s="94">
        <f t="shared" si="0"/>
        <v>67500</v>
      </c>
      <c r="F42" s="773"/>
      <c r="G42" s="778">
        <v>7500</v>
      </c>
      <c r="H42" s="777">
        <v>0.8002</v>
      </c>
      <c r="I42" s="236">
        <f t="shared" si="1"/>
        <v>6001.5</v>
      </c>
      <c r="J42" s="237"/>
      <c r="K42" s="238">
        <v>0.0734</v>
      </c>
      <c r="L42" s="236">
        <f t="shared" si="2"/>
        <v>550.5</v>
      </c>
      <c r="M42" s="237"/>
      <c r="N42" s="238">
        <v>0.1264</v>
      </c>
      <c r="O42" s="236">
        <f t="shared" si="3"/>
        <v>948.0000000000001</v>
      </c>
      <c r="P42" s="239"/>
    </row>
    <row r="43" spans="1:16" ht="16.5" thickBot="1">
      <c r="A43" s="234"/>
      <c r="B43" s="145"/>
      <c r="C43" s="146"/>
      <c r="D43" s="235" t="s">
        <v>40</v>
      </c>
      <c r="E43" s="94">
        <f t="shared" si="0"/>
        <v>4500</v>
      </c>
      <c r="F43" s="773"/>
      <c r="G43" s="774">
        <v>500</v>
      </c>
      <c r="H43" s="777">
        <v>0.8002</v>
      </c>
      <c r="I43" s="236">
        <f t="shared" si="1"/>
        <v>400.1</v>
      </c>
      <c r="J43" s="237"/>
      <c r="K43" s="238">
        <v>0.0734</v>
      </c>
      <c r="L43" s="236">
        <f t="shared" si="2"/>
        <v>36.7</v>
      </c>
      <c r="M43" s="237"/>
      <c r="N43" s="238">
        <v>0.1264</v>
      </c>
      <c r="O43" s="236">
        <f t="shared" si="3"/>
        <v>63.2</v>
      </c>
      <c r="P43" s="239"/>
    </row>
    <row r="44" spans="1:16" ht="32.25" thickBot="1">
      <c r="A44" s="234"/>
      <c r="B44" s="145"/>
      <c r="C44" s="146"/>
      <c r="D44" s="235" t="s">
        <v>41</v>
      </c>
      <c r="E44" s="94">
        <f t="shared" si="0"/>
        <v>6750</v>
      </c>
      <c r="F44" s="773"/>
      <c r="G44" s="774">
        <v>750</v>
      </c>
      <c r="H44" s="777">
        <v>0.8002</v>
      </c>
      <c r="I44" s="236">
        <f t="shared" si="1"/>
        <v>600.15</v>
      </c>
      <c r="J44" s="237"/>
      <c r="K44" s="238">
        <v>0.0734</v>
      </c>
      <c r="L44" s="236">
        <f t="shared" si="2"/>
        <v>55.050000000000004</v>
      </c>
      <c r="M44" s="237"/>
      <c r="N44" s="238">
        <v>0.1264</v>
      </c>
      <c r="O44" s="236">
        <f t="shared" si="3"/>
        <v>94.80000000000001</v>
      </c>
      <c r="P44" s="239"/>
    </row>
    <row r="45" spans="1:16" ht="16.5" thickBot="1">
      <c r="A45" s="234"/>
      <c r="B45" s="145"/>
      <c r="C45" s="146"/>
      <c r="D45" s="235" t="s">
        <v>95</v>
      </c>
      <c r="E45" s="94">
        <f t="shared" si="0"/>
        <v>598774.5</v>
      </c>
      <c r="F45" s="773"/>
      <c r="G45" s="779">
        <f>G46+G47</f>
        <v>66530.5</v>
      </c>
      <c r="H45" s="777">
        <v>0.8002</v>
      </c>
      <c r="I45" s="236">
        <f t="shared" si="1"/>
        <v>53237.7061</v>
      </c>
      <c r="J45" s="237"/>
      <c r="K45" s="238">
        <v>0.0734</v>
      </c>
      <c r="L45" s="236">
        <f t="shared" si="2"/>
        <v>4883.3387</v>
      </c>
      <c r="M45" s="237"/>
      <c r="N45" s="238">
        <v>0.1264</v>
      </c>
      <c r="O45" s="236">
        <f t="shared" si="3"/>
        <v>8409.4552</v>
      </c>
      <c r="P45" s="239"/>
    </row>
    <row r="46" spans="1:16" s="244" customFormat="1" ht="16.5" thickBot="1">
      <c r="A46" s="240"/>
      <c r="B46" s="241"/>
      <c r="C46" s="242"/>
      <c r="D46" s="243" t="s">
        <v>93</v>
      </c>
      <c r="E46" s="94">
        <f t="shared" si="0"/>
        <v>435424.5</v>
      </c>
      <c r="F46" s="773"/>
      <c r="G46" s="780">
        <f>35000*1.15*1.202</f>
        <v>48380.5</v>
      </c>
      <c r="H46" s="777">
        <v>0.8002</v>
      </c>
      <c r="I46" s="236">
        <f t="shared" si="1"/>
        <v>38714.0761</v>
      </c>
      <c r="J46" s="237"/>
      <c r="K46" s="238">
        <v>0.0734</v>
      </c>
      <c r="L46" s="236">
        <f t="shared" si="2"/>
        <v>3551.1287</v>
      </c>
      <c r="M46" s="237"/>
      <c r="N46" s="238">
        <v>0.1264</v>
      </c>
      <c r="O46" s="236">
        <f t="shared" si="3"/>
        <v>6115.2952000000005</v>
      </c>
      <c r="P46" s="239"/>
    </row>
    <row r="47" spans="1:16" s="244" customFormat="1" ht="16.5" thickBot="1">
      <c r="A47" s="240"/>
      <c r="B47" s="241"/>
      <c r="C47" s="242"/>
      <c r="D47" s="243" t="s">
        <v>94</v>
      </c>
      <c r="E47" s="94">
        <f t="shared" si="0"/>
        <v>163350</v>
      </c>
      <c r="F47" s="773"/>
      <c r="G47" s="780">
        <f>16500*1.1</f>
        <v>18150</v>
      </c>
      <c r="H47" s="777">
        <v>0.8002</v>
      </c>
      <c r="I47" s="236">
        <f t="shared" si="1"/>
        <v>14523.630000000001</v>
      </c>
      <c r="J47" s="237"/>
      <c r="K47" s="238">
        <v>0.0734</v>
      </c>
      <c r="L47" s="236">
        <f t="shared" si="2"/>
        <v>1332.21</v>
      </c>
      <c r="M47" s="237"/>
      <c r="N47" s="238">
        <v>0.1264</v>
      </c>
      <c r="O47" s="236">
        <f t="shared" si="3"/>
        <v>2294.1600000000003</v>
      </c>
      <c r="P47" s="239"/>
    </row>
    <row r="48" spans="1:16" s="250" customFormat="1" ht="16.5" thickBot="1">
      <c r="A48" s="245"/>
      <c r="B48" s="163"/>
      <c r="C48" s="164"/>
      <c r="D48" s="246" t="s">
        <v>43</v>
      </c>
      <c r="E48" s="94">
        <f t="shared" si="0"/>
        <v>22500</v>
      </c>
      <c r="F48" s="781"/>
      <c r="G48" s="774">
        <v>2500</v>
      </c>
      <c r="H48" s="247">
        <v>1</v>
      </c>
      <c r="I48" s="248">
        <v>2500</v>
      </c>
      <c r="J48" s="169"/>
      <c r="K48" s="247">
        <v>0</v>
      </c>
      <c r="L48" s="248">
        <v>0</v>
      </c>
      <c r="M48" s="169"/>
      <c r="N48" s="247">
        <v>0</v>
      </c>
      <c r="O48" s="248">
        <v>0</v>
      </c>
      <c r="P48" s="249"/>
    </row>
    <row r="49" spans="1:16" ht="32.25" thickBot="1">
      <c r="A49" s="234"/>
      <c r="B49" s="145"/>
      <c r="C49" s="146"/>
      <c r="D49" s="235" t="s">
        <v>44</v>
      </c>
      <c r="E49" s="94">
        <f t="shared" si="0"/>
        <v>13500</v>
      </c>
      <c r="F49" s="773"/>
      <c r="G49" s="780">
        <v>1500</v>
      </c>
      <c r="H49" s="775">
        <v>0.8002</v>
      </c>
      <c r="I49" s="230">
        <f>G49*H49</f>
        <v>1200.3</v>
      </c>
      <c r="J49" s="231"/>
      <c r="K49" s="232">
        <v>0.0734</v>
      </c>
      <c r="L49" s="230">
        <f>G49*K49</f>
        <v>110.10000000000001</v>
      </c>
      <c r="M49" s="231"/>
      <c r="N49" s="232">
        <v>0.1264</v>
      </c>
      <c r="O49" s="230">
        <f>G49*N49</f>
        <v>189.60000000000002</v>
      </c>
      <c r="P49" s="233"/>
    </row>
    <row r="50" spans="1:16" ht="32.25" thickBot="1">
      <c r="A50" s="234"/>
      <c r="B50" s="145"/>
      <c r="C50" s="146"/>
      <c r="D50" s="251" t="s">
        <v>45</v>
      </c>
      <c r="E50" s="94">
        <f t="shared" si="0"/>
        <v>10800</v>
      </c>
      <c r="F50" s="773"/>
      <c r="G50" s="780">
        <v>1200</v>
      </c>
      <c r="H50" s="775">
        <v>0.8002</v>
      </c>
      <c r="I50" s="230">
        <f>G50*H50</f>
        <v>960.24</v>
      </c>
      <c r="J50" s="231"/>
      <c r="K50" s="232">
        <v>0.0734</v>
      </c>
      <c r="L50" s="230">
        <f>G50*K50</f>
        <v>88.08000000000001</v>
      </c>
      <c r="M50" s="231"/>
      <c r="N50" s="232">
        <v>0.1264</v>
      </c>
      <c r="O50" s="230">
        <f>G50*N50</f>
        <v>151.68</v>
      </c>
      <c r="P50" s="233"/>
    </row>
    <row r="51" spans="1:16" ht="16.5" thickBot="1">
      <c r="A51" s="234"/>
      <c r="B51" s="145"/>
      <c r="C51" s="146"/>
      <c r="D51" s="251" t="s">
        <v>46</v>
      </c>
      <c r="E51" s="94">
        <f t="shared" si="0"/>
        <v>3600</v>
      </c>
      <c r="F51" s="773"/>
      <c r="G51" s="774">
        <v>400</v>
      </c>
      <c r="H51" s="775">
        <v>0.8002</v>
      </c>
      <c r="I51" s="230">
        <f>G51</f>
        <v>400</v>
      </c>
      <c r="J51" s="231"/>
      <c r="K51" s="232">
        <v>0.0734</v>
      </c>
      <c r="L51" s="230">
        <f>G51*K51</f>
        <v>29.360000000000003</v>
      </c>
      <c r="M51" s="231"/>
      <c r="N51" s="232">
        <v>0.1264</v>
      </c>
      <c r="O51" s="230">
        <f>G51*N51</f>
        <v>50.56</v>
      </c>
      <c r="P51" s="233"/>
    </row>
    <row r="52" spans="1:16" ht="21" customHeight="1" thickBot="1">
      <c r="A52" s="234"/>
      <c r="B52" s="145"/>
      <c r="C52" s="146"/>
      <c r="D52" s="235" t="s">
        <v>47</v>
      </c>
      <c r="E52" s="94">
        <f t="shared" si="0"/>
        <v>2250</v>
      </c>
      <c r="F52" s="773"/>
      <c r="G52" s="774">
        <v>250</v>
      </c>
      <c r="H52" s="775">
        <v>0.8002</v>
      </c>
      <c r="I52" s="230">
        <f>G52*H52</f>
        <v>200.05</v>
      </c>
      <c r="J52" s="231"/>
      <c r="K52" s="232">
        <v>0.0734</v>
      </c>
      <c r="L52" s="230">
        <f>G52*K52</f>
        <v>18.35</v>
      </c>
      <c r="M52" s="231"/>
      <c r="N52" s="232">
        <v>0.1264</v>
      </c>
      <c r="O52" s="230">
        <f>G52*N52</f>
        <v>31.6</v>
      </c>
      <c r="P52" s="233"/>
    </row>
    <row r="53" spans="1:16" ht="30" customHeight="1" thickBot="1">
      <c r="A53" s="234"/>
      <c r="B53" s="145"/>
      <c r="C53" s="146"/>
      <c r="D53" s="252" t="s">
        <v>48</v>
      </c>
      <c r="E53" s="94">
        <f t="shared" si="0"/>
        <v>0</v>
      </c>
      <c r="F53" s="773"/>
      <c r="G53" s="782">
        <v>0</v>
      </c>
      <c r="H53" s="775">
        <v>0.8002</v>
      </c>
      <c r="I53" s="230">
        <f>G53*H53</f>
        <v>0</v>
      </c>
      <c r="J53" s="231"/>
      <c r="K53" s="232">
        <v>0.0734</v>
      </c>
      <c r="L53" s="230">
        <f>G53*K53</f>
        <v>0</v>
      </c>
      <c r="M53" s="231"/>
      <c r="N53" s="232">
        <v>0.1264</v>
      </c>
      <c r="O53" s="230">
        <f>G53*N53</f>
        <v>0</v>
      </c>
      <c r="P53" s="233"/>
    </row>
    <row r="54" spans="1:16" ht="32.25" thickBot="1">
      <c r="A54" s="234"/>
      <c r="B54" s="253"/>
      <c r="C54" s="146">
        <v>2</v>
      </c>
      <c r="D54" s="783" t="s">
        <v>313</v>
      </c>
      <c r="E54" s="94">
        <f>SUM(E55,E58,E60,E62,E63,E61,E64,E68)</f>
        <v>1144771.41</v>
      </c>
      <c r="F54" s="101"/>
      <c r="G54" s="94">
        <f>SUM(G55,G58,G60,G62,G63,G61,G64,G68)</f>
        <v>127196.82333333333</v>
      </c>
      <c r="H54" s="784"/>
      <c r="I54" s="94">
        <f>SUM(I55,I58,I60,I62,I63,I61,I64,I68)</f>
        <v>107739.35803740888</v>
      </c>
      <c r="J54" s="254"/>
      <c r="K54" s="255"/>
      <c r="L54" s="94">
        <f>SUM(L55,L58,L60,L62,L63,L61,L64,L68)</f>
        <v>9708.132038661124</v>
      </c>
      <c r="M54" s="256"/>
      <c r="N54" s="255"/>
      <c r="O54" s="94">
        <f>SUM(O55,O58,O60,O62,O63,O61,O64,O68)</f>
        <v>9749.333257263315</v>
      </c>
      <c r="P54" s="131"/>
    </row>
    <row r="55" spans="1:16" ht="16.5" thickBot="1">
      <c r="A55" s="234"/>
      <c r="B55" s="145"/>
      <c r="C55" s="146"/>
      <c r="D55" s="229" t="s">
        <v>42</v>
      </c>
      <c r="E55" s="94">
        <f aca="true" t="shared" si="4" ref="E55:E76">G55*9</f>
        <v>285721.4099999999</v>
      </c>
      <c r="F55" s="785"/>
      <c r="G55" s="774">
        <f>G56+G57</f>
        <v>31746.823333333326</v>
      </c>
      <c r="H55" s="777"/>
      <c r="I55" s="236">
        <f>I57+I56</f>
        <v>29353.23265333333</v>
      </c>
      <c r="J55" s="257"/>
      <c r="K55" s="258"/>
      <c r="L55" s="236">
        <f>L57+L56</f>
        <v>879.3271066666667</v>
      </c>
      <c r="M55" s="257"/>
      <c r="N55" s="258"/>
      <c r="O55" s="236">
        <f>O57+O56</f>
        <v>1514.2635733333334</v>
      </c>
      <c r="P55" s="239"/>
    </row>
    <row r="56" spans="1:16" ht="32.25" thickBot="1">
      <c r="A56" s="786"/>
      <c r="B56" s="152"/>
      <c r="C56" s="260"/>
      <c r="D56" s="787" t="s">
        <v>50</v>
      </c>
      <c r="E56" s="94">
        <f t="shared" si="4"/>
        <v>107819.4</v>
      </c>
      <c r="F56" s="788"/>
      <c r="G56" s="780">
        <f>(2000*1.15*1.202*4)*13/12</f>
        <v>11979.933333333332</v>
      </c>
      <c r="H56" s="775">
        <v>0.8002</v>
      </c>
      <c r="I56" s="230">
        <f>G56*H56</f>
        <v>9586.342653333333</v>
      </c>
      <c r="J56" s="231"/>
      <c r="K56" s="232">
        <v>0.0734</v>
      </c>
      <c r="L56" s="230">
        <f>G56*K56</f>
        <v>879.3271066666667</v>
      </c>
      <c r="M56" s="231"/>
      <c r="N56" s="232">
        <v>0.1264</v>
      </c>
      <c r="O56" s="230">
        <f>G56*N56</f>
        <v>1514.2635733333334</v>
      </c>
      <c r="P56" s="233"/>
    </row>
    <row r="57" spans="1:16" s="244" customFormat="1" ht="16.5" thickBot="1">
      <c r="A57" s="234"/>
      <c r="B57" s="241"/>
      <c r="C57" s="242"/>
      <c r="D57" s="789" t="s">
        <v>51</v>
      </c>
      <c r="E57" s="94">
        <f t="shared" si="4"/>
        <v>177902.00999999995</v>
      </c>
      <c r="F57" s="118"/>
      <c r="G57" s="790">
        <f>(13200*1.15*1.202)*13/12</f>
        <v>19766.889999999996</v>
      </c>
      <c r="H57" s="247">
        <v>1</v>
      </c>
      <c r="I57" s="248">
        <f>H57*G57</f>
        <v>19766.889999999996</v>
      </c>
      <c r="J57" s="170"/>
      <c r="K57" s="425">
        <v>0</v>
      </c>
      <c r="L57" s="163">
        <f>K57*G57</f>
        <v>0</v>
      </c>
      <c r="M57" s="170"/>
      <c r="N57" s="165">
        <v>0</v>
      </c>
      <c r="O57" s="248">
        <f>N57*G57</f>
        <v>0</v>
      </c>
      <c r="P57" s="261"/>
    </row>
    <row r="58" spans="1:16" ht="16.5" thickBot="1">
      <c r="A58" s="234"/>
      <c r="B58" s="145"/>
      <c r="C58" s="146"/>
      <c r="D58" s="235" t="s">
        <v>52</v>
      </c>
      <c r="E58" s="94">
        <f t="shared" si="4"/>
        <v>514800</v>
      </c>
      <c r="F58" s="791"/>
      <c r="G58" s="779">
        <v>57200</v>
      </c>
      <c r="H58" s="792"/>
      <c r="I58" s="262">
        <f>SUM(I59:I59)</f>
        <v>47581.61538407556</v>
      </c>
      <c r="J58" s="263"/>
      <c r="K58" s="264"/>
      <c r="L58" s="262">
        <f>SUM(L59:L59)</f>
        <v>6003.234931994458</v>
      </c>
      <c r="M58" s="263"/>
      <c r="N58" s="264"/>
      <c r="O58" s="262">
        <f>SUM(O59:O59)</f>
        <v>3615.1496839299816</v>
      </c>
      <c r="P58" s="265"/>
    </row>
    <row r="59" spans="1:16" ht="68.25" customHeight="1" thickBot="1">
      <c r="A59" s="786"/>
      <c r="B59" s="152"/>
      <c r="C59" s="793"/>
      <c r="D59" s="794" t="s">
        <v>53</v>
      </c>
      <c r="E59" s="94">
        <f t="shared" si="4"/>
        <v>514800</v>
      </c>
      <c r="F59" s="773"/>
      <c r="G59" s="780">
        <v>57200</v>
      </c>
      <c r="H59" s="795">
        <f>жилые+паркинг/4</f>
        <v>0.8318464227985237</v>
      </c>
      <c r="I59" s="796">
        <f>G59*H59</f>
        <v>47581.61538407556</v>
      </c>
      <c r="J59" s="797"/>
      <c r="K59" s="719">
        <f>нежилые+паркинг/4</f>
        <v>0.10495165965025276</v>
      </c>
      <c r="L59" s="796">
        <f>G59*K59</f>
        <v>6003.234931994458</v>
      </c>
      <c r="M59" s="797"/>
      <c r="N59" s="238">
        <f>паркинг/2</f>
        <v>0.06320191755122345</v>
      </c>
      <c r="O59" s="236">
        <f>G59*N59</f>
        <v>3615.1496839299816</v>
      </c>
      <c r="P59" s="239"/>
    </row>
    <row r="60" spans="1:16" s="266" customFormat="1" ht="16.5" thickBot="1">
      <c r="A60" s="234"/>
      <c r="B60" s="145"/>
      <c r="C60" s="146"/>
      <c r="D60" s="798" t="s">
        <v>54</v>
      </c>
      <c r="E60" s="94">
        <f t="shared" si="4"/>
        <v>4500</v>
      </c>
      <c r="F60" s="773"/>
      <c r="G60" s="790">
        <v>500</v>
      </c>
      <c r="H60" s="799">
        <v>0.916</v>
      </c>
      <c r="I60" s="230">
        <f aca="true" t="shared" si="5" ref="I60:I76">G60*H60</f>
        <v>458</v>
      </c>
      <c r="J60" s="800"/>
      <c r="K60" s="801">
        <v>0.084</v>
      </c>
      <c r="L60" s="802">
        <f>K60*G60</f>
        <v>42</v>
      </c>
      <c r="M60" s="800"/>
      <c r="N60" s="165">
        <v>0</v>
      </c>
      <c r="O60" s="248">
        <v>0</v>
      </c>
      <c r="P60" s="261"/>
    </row>
    <row r="61" spans="1:16" s="266" customFormat="1" ht="16.5" thickBot="1">
      <c r="A61" s="234"/>
      <c r="B61" s="145"/>
      <c r="C61" s="146"/>
      <c r="D61" s="798" t="s">
        <v>55</v>
      </c>
      <c r="E61" s="94">
        <f t="shared" si="4"/>
        <v>10800</v>
      </c>
      <c r="F61" s="773"/>
      <c r="G61" s="790">
        <v>1200</v>
      </c>
      <c r="H61" s="803">
        <v>0.916</v>
      </c>
      <c r="I61" s="804">
        <f t="shared" si="5"/>
        <v>1099.2</v>
      </c>
      <c r="J61" s="805"/>
      <c r="K61" s="806">
        <v>0.084</v>
      </c>
      <c r="L61" s="807">
        <f>K61*G61</f>
        <v>100.80000000000001</v>
      </c>
      <c r="M61" s="805"/>
      <c r="N61" s="165">
        <v>0</v>
      </c>
      <c r="O61" s="248">
        <v>0</v>
      </c>
      <c r="P61" s="261"/>
    </row>
    <row r="62" spans="1:16" s="266" customFormat="1" ht="32.25" thickBot="1">
      <c r="A62" s="234"/>
      <c r="B62" s="145"/>
      <c r="C62" s="146"/>
      <c r="D62" s="798" t="s">
        <v>56</v>
      </c>
      <c r="E62" s="94">
        <f t="shared" si="4"/>
        <v>3600</v>
      </c>
      <c r="F62" s="773"/>
      <c r="G62" s="779">
        <v>400</v>
      </c>
      <c r="H62" s="808">
        <v>0.8002</v>
      </c>
      <c r="I62" s="417">
        <f t="shared" si="5"/>
        <v>320.08</v>
      </c>
      <c r="J62" s="809"/>
      <c r="K62" s="810">
        <v>0.0734</v>
      </c>
      <c r="L62" s="417">
        <f aca="true" t="shared" si="6" ref="L62:L76">G62*K62</f>
        <v>29.360000000000003</v>
      </c>
      <c r="M62" s="809"/>
      <c r="N62" s="232">
        <v>0.1264</v>
      </c>
      <c r="O62" s="230">
        <f aca="true" t="shared" si="7" ref="O62:O76">G62*N62</f>
        <v>50.56</v>
      </c>
      <c r="P62" s="233"/>
    </row>
    <row r="63" spans="1:16" ht="32.25" thickBot="1">
      <c r="A63" s="234"/>
      <c r="B63" s="145"/>
      <c r="C63" s="146"/>
      <c r="D63" s="235" t="s">
        <v>57</v>
      </c>
      <c r="E63" s="94">
        <f t="shared" si="4"/>
        <v>6750</v>
      </c>
      <c r="F63" s="773"/>
      <c r="G63" s="774">
        <v>750</v>
      </c>
      <c r="H63" s="775">
        <v>0.8002</v>
      </c>
      <c r="I63" s="230">
        <f t="shared" si="5"/>
        <v>600.15</v>
      </c>
      <c r="J63" s="231"/>
      <c r="K63" s="232">
        <v>0.0734</v>
      </c>
      <c r="L63" s="230">
        <f t="shared" si="6"/>
        <v>55.050000000000004</v>
      </c>
      <c r="M63" s="231"/>
      <c r="N63" s="232">
        <v>0.1264</v>
      </c>
      <c r="O63" s="230">
        <f t="shared" si="7"/>
        <v>94.80000000000001</v>
      </c>
      <c r="P63" s="233"/>
    </row>
    <row r="64" spans="1:16" ht="32.25" thickBot="1">
      <c r="A64" s="234"/>
      <c r="B64" s="145"/>
      <c r="C64" s="146"/>
      <c r="D64" s="811" t="s">
        <v>58</v>
      </c>
      <c r="E64" s="94">
        <f t="shared" si="4"/>
        <v>9000</v>
      </c>
      <c r="F64" s="773"/>
      <c r="G64" s="779">
        <f>G65+G66+G67</f>
        <v>1000</v>
      </c>
      <c r="H64" s="775">
        <v>0.8002</v>
      </c>
      <c r="I64" s="230">
        <f t="shared" si="5"/>
        <v>800.2</v>
      </c>
      <c r="J64" s="231"/>
      <c r="K64" s="232">
        <v>0.0734</v>
      </c>
      <c r="L64" s="230">
        <f t="shared" si="6"/>
        <v>73.4</v>
      </c>
      <c r="M64" s="231"/>
      <c r="N64" s="232">
        <v>0.1264</v>
      </c>
      <c r="O64" s="230">
        <f t="shared" si="7"/>
        <v>126.4</v>
      </c>
      <c r="P64" s="233"/>
    </row>
    <row r="65" spans="1:16" s="244" customFormat="1" ht="16.5" hidden="1" thickBot="1">
      <c r="A65" s="234"/>
      <c r="B65" s="241"/>
      <c r="C65" s="242"/>
      <c r="D65" s="812" t="s">
        <v>59</v>
      </c>
      <c r="E65" s="94">
        <f t="shared" si="4"/>
        <v>0</v>
      </c>
      <c r="F65" s="773"/>
      <c r="G65" s="778">
        <v>0</v>
      </c>
      <c r="H65" s="775">
        <v>0.8002</v>
      </c>
      <c r="I65" s="230">
        <f t="shared" si="5"/>
        <v>0</v>
      </c>
      <c r="J65" s="231"/>
      <c r="K65" s="232">
        <v>0.0734</v>
      </c>
      <c r="L65" s="230">
        <f t="shared" si="6"/>
        <v>0</v>
      </c>
      <c r="M65" s="231"/>
      <c r="N65" s="232">
        <v>0.1264</v>
      </c>
      <c r="O65" s="230">
        <f t="shared" si="7"/>
        <v>0</v>
      </c>
      <c r="P65" s="233"/>
    </row>
    <row r="66" spans="1:16" s="244" customFormat="1" ht="16.5" hidden="1" thickBot="1">
      <c r="A66" s="234"/>
      <c r="B66" s="241"/>
      <c r="C66" s="242"/>
      <c r="D66" s="812" t="s">
        <v>92</v>
      </c>
      <c r="E66" s="94">
        <f t="shared" si="4"/>
        <v>0</v>
      </c>
      <c r="F66" s="773"/>
      <c r="G66" s="778">
        <v>0</v>
      </c>
      <c r="H66" s="775">
        <v>0.8002</v>
      </c>
      <c r="I66" s="230">
        <f t="shared" si="5"/>
        <v>0</v>
      </c>
      <c r="J66" s="231"/>
      <c r="K66" s="232">
        <v>0.0734</v>
      </c>
      <c r="L66" s="230">
        <f t="shared" si="6"/>
        <v>0</v>
      </c>
      <c r="M66" s="231"/>
      <c r="N66" s="232">
        <v>0.1264</v>
      </c>
      <c r="O66" s="230">
        <f t="shared" si="7"/>
        <v>0</v>
      </c>
      <c r="P66" s="233"/>
    </row>
    <row r="67" spans="1:16" s="244" customFormat="1" ht="30.75" customHeight="1" thickBot="1">
      <c r="A67" s="234"/>
      <c r="B67" s="241"/>
      <c r="C67" s="242"/>
      <c r="D67" s="812" t="s">
        <v>60</v>
      </c>
      <c r="E67" s="94">
        <f t="shared" si="4"/>
        <v>9000</v>
      </c>
      <c r="F67" s="773"/>
      <c r="G67" s="780">
        <v>1000</v>
      </c>
      <c r="H67" s="775">
        <v>0.8002</v>
      </c>
      <c r="I67" s="230">
        <f t="shared" si="5"/>
        <v>800.2</v>
      </c>
      <c r="J67" s="231"/>
      <c r="K67" s="232">
        <v>0.0734</v>
      </c>
      <c r="L67" s="230">
        <f t="shared" si="6"/>
        <v>73.4</v>
      </c>
      <c r="M67" s="231"/>
      <c r="N67" s="232">
        <v>0.1264</v>
      </c>
      <c r="O67" s="230">
        <f t="shared" si="7"/>
        <v>126.4</v>
      </c>
      <c r="P67" s="233"/>
    </row>
    <row r="68" spans="1:16" ht="32.25" thickBot="1">
      <c r="A68" s="234"/>
      <c r="B68" s="145"/>
      <c r="C68" s="146"/>
      <c r="D68" s="798" t="s">
        <v>61</v>
      </c>
      <c r="E68" s="94">
        <f t="shared" si="4"/>
        <v>309600</v>
      </c>
      <c r="F68" s="773"/>
      <c r="G68" s="779">
        <f>SUM(G69:G76)</f>
        <v>34400</v>
      </c>
      <c r="H68" s="775">
        <v>0.8002</v>
      </c>
      <c r="I68" s="230">
        <f t="shared" si="5"/>
        <v>27526.88</v>
      </c>
      <c r="J68" s="231"/>
      <c r="K68" s="232">
        <v>0.0734</v>
      </c>
      <c r="L68" s="230">
        <f t="shared" si="6"/>
        <v>2524.96</v>
      </c>
      <c r="M68" s="231"/>
      <c r="N68" s="232">
        <v>0.1264</v>
      </c>
      <c r="O68" s="230">
        <f t="shared" si="7"/>
        <v>4348.160000000001</v>
      </c>
      <c r="P68" s="233"/>
    </row>
    <row r="69" spans="1:16" s="244" customFormat="1" ht="16.5" thickBot="1">
      <c r="A69" s="234"/>
      <c r="B69" s="241"/>
      <c r="C69" s="242"/>
      <c r="D69" s="813" t="s">
        <v>314</v>
      </c>
      <c r="E69" s="94">
        <f t="shared" si="4"/>
        <v>49500</v>
      </c>
      <c r="F69" s="773"/>
      <c r="G69" s="780">
        <v>5500</v>
      </c>
      <c r="H69" s="775">
        <v>0.8002</v>
      </c>
      <c r="I69" s="230">
        <f t="shared" si="5"/>
        <v>4401.1</v>
      </c>
      <c r="J69" s="231"/>
      <c r="K69" s="232">
        <v>0.0734</v>
      </c>
      <c r="L69" s="230">
        <f t="shared" si="6"/>
        <v>403.70000000000005</v>
      </c>
      <c r="M69" s="231"/>
      <c r="N69" s="232">
        <v>0.1264</v>
      </c>
      <c r="O69" s="230">
        <f t="shared" si="7"/>
        <v>695.2</v>
      </c>
      <c r="P69" s="233"/>
    </row>
    <row r="70" spans="1:16" s="244" customFormat="1" ht="19.5" thickBot="1">
      <c r="A70" s="234"/>
      <c r="B70" s="241"/>
      <c r="C70" s="242"/>
      <c r="D70" s="814" t="s">
        <v>315</v>
      </c>
      <c r="E70" s="815">
        <f t="shared" si="4"/>
        <v>174600</v>
      </c>
      <c r="F70" s="816"/>
      <c r="G70" s="817">
        <v>19400</v>
      </c>
      <c r="H70" s="775">
        <v>0.8002</v>
      </c>
      <c r="I70" s="230">
        <f>G70*H70</f>
        <v>15523.880000000001</v>
      </c>
      <c r="J70" s="231"/>
      <c r="K70" s="232">
        <v>0.0734</v>
      </c>
      <c r="L70" s="230">
        <f>G70*K70</f>
        <v>1423.96</v>
      </c>
      <c r="M70" s="231"/>
      <c r="N70" s="232">
        <v>0.1264</v>
      </c>
      <c r="O70" s="230">
        <f>G70*N70</f>
        <v>2452.1600000000003</v>
      </c>
      <c r="P70" s="233"/>
    </row>
    <row r="71" spans="1:16" s="244" customFormat="1" ht="16.5" thickBot="1">
      <c r="A71" s="234"/>
      <c r="B71" s="241"/>
      <c r="C71" s="242"/>
      <c r="D71" s="813" t="s">
        <v>63</v>
      </c>
      <c r="E71" s="94">
        <f t="shared" si="4"/>
        <v>22500</v>
      </c>
      <c r="F71" s="773"/>
      <c r="G71" s="818">
        <v>2500</v>
      </c>
      <c r="H71" s="726">
        <f>I9</f>
        <v>0.91603591702667</v>
      </c>
      <c r="I71" s="267">
        <f t="shared" si="5"/>
        <v>2290.089792566675</v>
      </c>
      <c r="J71" s="268"/>
      <c r="K71" s="269">
        <f>L9</f>
        <v>0.08396408297333001</v>
      </c>
      <c r="L71" s="267">
        <f t="shared" si="6"/>
        <v>209.910207433325</v>
      </c>
      <c r="M71" s="268"/>
      <c r="N71" s="269">
        <v>0</v>
      </c>
      <c r="O71" s="267">
        <f t="shared" si="7"/>
        <v>0</v>
      </c>
      <c r="P71" s="270"/>
    </row>
    <row r="72" spans="1:16" s="244" customFormat="1" ht="16.5" thickBot="1">
      <c r="A72" s="234"/>
      <c r="B72" s="241"/>
      <c r="C72" s="242"/>
      <c r="D72" s="813" t="s">
        <v>64</v>
      </c>
      <c r="E72" s="94">
        <f t="shared" si="4"/>
        <v>9000</v>
      </c>
      <c r="F72" s="773"/>
      <c r="G72" s="790">
        <v>1000</v>
      </c>
      <c r="H72" s="726">
        <f>I9</f>
        <v>0.91603591702667</v>
      </c>
      <c r="I72" s="267">
        <f t="shared" si="5"/>
        <v>916.03591702667</v>
      </c>
      <c r="J72" s="268"/>
      <c r="K72" s="269">
        <f>L9</f>
        <v>0.08396408297333001</v>
      </c>
      <c r="L72" s="267">
        <f t="shared" si="6"/>
        <v>83.96408297333001</v>
      </c>
      <c r="M72" s="268"/>
      <c r="N72" s="269">
        <v>0</v>
      </c>
      <c r="O72" s="267">
        <f t="shared" si="7"/>
        <v>0</v>
      </c>
      <c r="P72" s="270"/>
    </row>
    <row r="73" spans="1:16" s="244" customFormat="1" ht="16.5" thickBot="1">
      <c r="A73" s="234"/>
      <c r="B73" s="241"/>
      <c r="C73" s="242"/>
      <c r="D73" s="813" t="s">
        <v>65</v>
      </c>
      <c r="E73" s="94">
        <f t="shared" si="4"/>
        <v>22500</v>
      </c>
      <c r="F73" s="773"/>
      <c r="G73" s="778">
        <v>2500</v>
      </c>
      <c r="H73" s="726">
        <f>I9</f>
        <v>0.91603591702667</v>
      </c>
      <c r="I73" s="267">
        <f t="shared" si="5"/>
        <v>2290.089792566675</v>
      </c>
      <c r="J73" s="268"/>
      <c r="K73" s="269">
        <f>L9</f>
        <v>0.08396408297333001</v>
      </c>
      <c r="L73" s="267">
        <f t="shared" si="6"/>
        <v>209.910207433325</v>
      </c>
      <c r="M73" s="268"/>
      <c r="N73" s="269">
        <v>0</v>
      </c>
      <c r="O73" s="267">
        <f t="shared" si="7"/>
        <v>0</v>
      </c>
      <c r="P73" s="270"/>
    </row>
    <row r="74" spans="1:16" s="244" customFormat="1" ht="16.5" thickBot="1">
      <c r="A74" s="234"/>
      <c r="B74" s="241"/>
      <c r="C74" s="242"/>
      <c r="D74" s="813" t="s">
        <v>66</v>
      </c>
      <c r="E74" s="94">
        <f t="shared" si="4"/>
        <v>22500</v>
      </c>
      <c r="F74" s="773"/>
      <c r="G74" s="778">
        <v>2500</v>
      </c>
      <c r="H74" s="775">
        <v>0.8002</v>
      </c>
      <c r="I74" s="230">
        <f t="shared" si="5"/>
        <v>2000.5</v>
      </c>
      <c r="J74" s="231"/>
      <c r="K74" s="232">
        <v>0.0734</v>
      </c>
      <c r="L74" s="230">
        <f t="shared" si="6"/>
        <v>183.50000000000003</v>
      </c>
      <c r="M74" s="231"/>
      <c r="N74" s="232">
        <v>0.1264</v>
      </c>
      <c r="O74" s="230">
        <f t="shared" si="7"/>
        <v>316.00000000000006</v>
      </c>
      <c r="P74" s="233"/>
    </row>
    <row r="75" spans="1:16" s="244" customFormat="1" ht="16.5" thickBot="1">
      <c r="A75" s="234"/>
      <c r="B75" s="241"/>
      <c r="C75" s="242"/>
      <c r="D75" s="813" t="s">
        <v>67</v>
      </c>
      <c r="E75" s="94">
        <f t="shared" si="4"/>
        <v>4500</v>
      </c>
      <c r="F75" s="773"/>
      <c r="G75" s="818">
        <v>500</v>
      </c>
      <c r="H75" s="775">
        <v>0.8002</v>
      </c>
      <c r="I75" s="230">
        <f t="shared" si="5"/>
        <v>400.1</v>
      </c>
      <c r="J75" s="231"/>
      <c r="K75" s="232">
        <v>0.0734</v>
      </c>
      <c r="L75" s="230">
        <f t="shared" si="6"/>
        <v>36.7</v>
      </c>
      <c r="M75" s="231"/>
      <c r="N75" s="232">
        <v>0.1264</v>
      </c>
      <c r="O75" s="230">
        <f t="shared" si="7"/>
        <v>63.2</v>
      </c>
      <c r="P75" s="233"/>
    </row>
    <row r="76" spans="1:16" s="244" customFormat="1" ht="16.5" thickBot="1">
      <c r="A76" s="234"/>
      <c r="B76" s="241"/>
      <c r="C76" s="242"/>
      <c r="D76" s="243" t="s">
        <v>68</v>
      </c>
      <c r="E76" s="94">
        <f t="shared" si="4"/>
        <v>4500</v>
      </c>
      <c r="F76" s="773"/>
      <c r="G76" s="778">
        <v>500</v>
      </c>
      <c r="H76" s="775">
        <v>0.8002</v>
      </c>
      <c r="I76" s="230">
        <f t="shared" si="5"/>
        <v>400.1</v>
      </c>
      <c r="J76" s="231"/>
      <c r="K76" s="232">
        <v>0.0734</v>
      </c>
      <c r="L76" s="230">
        <f t="shared" si="6"/>
        <v>36.7</v>
      </c>
      <c r="M76" s="231"/>
      <c r="N76" s="232">
        <v>0.1264</v>
      </c>
      <c r="O76" s="230">
        <f t="shared" si="7"/>
        <v>63.2</v>
      </c>
      <c r="P76" s="233"/>
    </row>
    <row r="77" spans="1:16" ht="16.5" thickBot="1">
      <c r="A77" s="234"/>
      <c r="B77" s="271"/>
      <c r="C77" s="146">
        <v>3</v>
      </c>
      <c r="D77" s="819" t="s">
        <v>69</v>
      </c>
      <c r="E77" s="272">
        <f>SUM(E78:E82)</f>
        <v>258377.5125</v>
      </c>
      <c r="F77" s="820"/>
      <c r="G77" s="272">
        <f>SUM(G78:G82)</f>
        <v>28708.612500000003</v>
      </c>
      <c r="H77" s="821"/>
      <c r="I77" s="272">
        <f>SUM(I78:I82)</f>
        <v>23088.467639526676</v>
      </c>
      <c r="J77" s="273"/>
      <c r="K77" s="274"/>
      <c r="L77" s="272">
        <f>SUM(L78:L82)</f>
        <v>2117.7762404733307</v>
      </c>
      <c r="M77" s="275"/>
      <c r="N77" s="274"/>
      <c r="O77" s="272">
        <f>SUM(O78:O82)</f>
        <v>3502.368620000001</v>
      </c>
      <c r="P77" s="276"/>
    </row>
    <row r="78" spans="1:16" ht="16.5" thickBot="1">
      <c r="A78" s="234"/>
      <c r="B78" s="145"/>
      <c r="C78" s="146"/>
      <c r="D78" s="235" t="s">
        <v>70</v>
      </c>
      <c r="E78" s="94">
        <f>G78*9</f>
        <v>222377.5125</v>
      </c>
      <c r="F78" s="773"/>
      <c r="G78" s="780">
        <f>(16500*1.15*1.202)*13/12</f>
        <v>24708.612500000003</v>
      </c>
      <c r="H78" s="775">
        <v>0.8002</v>
      </c>
      <c r="I78" s="230">
        <f>G78*H78</f>
        <v>19771.831722500003</v>
      </c>
      <c r="J78" s="231"/>
      <c r="K78" s="232">
        <v>0.0734</v>
      </c>
      <c r="L78" s="230">
        <f>G78*K78</f>
        <v>1813.6121575000004</v>
      </c>
      <c r="M78" s="231"/>
      <c r="N78" s="232">
        <v>0.1264</v>
      </c>
      <c r="O78" s="230">
        <f>G78*N78</f>
        <v>3123.168620000001</v>
      </c>
      <c r="P78" s="233"/>
    </row>
    <row r="79" spans="1:16" ht="16.5" thickBot="1">
      <c r="A79" s="234"/>
      <c r="B79" s="145"/>
      <c r="C79" s="146"/>
      <c r="D79" s="155" t="s">
        <v>71</v>
      </c>
      <c r="E79" s="94">
        <f>G79*9</f>
        <v>13500</v>
      </c>
      <c r="F79" s="773"/>
      <c r="G79" s="818">
        <v>1500</v>
      </c>
      <c r="H79" s="775">
        <v>0.8002</v>
      </c>
      <c r="I79" s="230">
        <f>G79*H79</f>
        <v>1200.3</v>
      </c>
      <c r="J79" s="231"/>
      <c r="K79" s="232">
        <v>0.0734</v>
      </c>
      <c r="L79" s="230">
        <f>G79*K79</f>
        <v>110.10000000000001</v>
      </c>
      <c r="M79" s="231"/>
      <c r="N79" s="232">
        <v>0.1264</v>
      </c>
      <c r="O79" s="230">
        <f>G79*N79</f>
        <v>189.60000000000002</v>
      </c>
      <c r="P79" s="233"/>
    </row>
    <row r="80" spans="1:16" ht="32.25" thickBot="1">
      <c r="A80" s="234"/>
      <c r="B80" s="145"/>
      <c r="C80" s="146"/>
      <c r="D80" s="235" t="s">
        <v>316</v>
      </c>
      <c r="E80" s="94">
        <f>G80*9</f>
        <v>9000</v>
      </c>
      <c r="F80" s="773"/>
      <c r="G80" s="790">
        <v>1000</v>
      </c>
      <c r="H80" s="726">
        <f>I9</f>
        <v>0.91603591702667</v>
      </c>
      <c r="I80" s="267">
        <f>G80*H80</f>
        <v>916.03591702667</v>
      </c>
      <c r="J80" s="268"/>
      <c r="K80" s="269">
        <f>L9</f>
        <v>0.08396408297333001</v>
      </c>
      <c r="L80" s="267">
        <f>G80*K80</f>
        <v>83.96408297333001</v>
      </c>
      <c r="M80" s="268"/>
      <c r="N80" s="269">
        <v>0</v>
      </c>
      <c r="O80" s="267">
        <f>G80*N80</f>
        <v>0</v>
      </c>
      <c r="P80" s="270"/>
    </row>
    <row r="81" spans="1:16" s="244" customFormat="1" ht="32.25" thickBot="1">
      <c r="A81" s="234"/>
      <c r="B81" s="241"/>
      <c r="C81" s="242"/>
      <c r="D81" s="235" t="s">
        <v>317</v>
      </c>
      <c r="E81" s="94">
        <f>G81*9</f>
        <v>6750</v>
      </c>
      <c r="F81" s="773"/>
      <c r="G81" s="780">
        <v>750</v>
      </c>
      <c r="H81" s="775">
        <v>0.8002</v>
      </c>
      <c r="I81" s="230">
        <f>G81*H81</f>
        <v>600.15</v>
      </c>
      <c r="J81" s="231"/>
      <c r="K81" s="232">
        <v>0.0734</v>
      </c>
      <c r="L81" s="230">
        <f>G81*K81</f>
        <v>55.050000000000004</v>
      </c>
      <c r="M81" s="231"/>
      <c r="N81" s="232">
        <v>0.1264</v>
      </c>
      <c r="O81" s="230">
        <f>G81*N81</f>
        <v>94.80000000000001</v>
      </c>
      <c r="P81" s="233"/>
    </row>
    <row r="82" spans="1:16" s="244" customFormat="1" ht="32.25" thickBot="1">
      <c r="A82" s="234"/>
      <c r="B82" s="241"/>
      <c r="C82" s="242"/>
      <c r="D82" s="252" t="s">
        <v>318</v>
      </c>
      <c r="E82" s="94">
        <f>G82*9</f>
        <v>6750</v>
      </c>
      <c r="F82" s="773"/>
      <c r="G82" s="822">
        <v>750</v>
      </c>
      <c r="H82" s="775">
        <v>0.8002</v>
      </c>
      <c r="I82" s="230">
        <f>G82*H82</f>
        <v>600.15</v>
      </c>
      <c r="J82" s="231"/>
      <c r="K82" s="232">
        <v>0.0734</v>
      </c>
      <c r="L82" s="230">
        <f>G82*K82</f>
        <v>55.050000000000004</v>
      </c>
      <c r="M82" s="231"/>
      <c r="N82" s="232">
        <v>0.1264</v>
      </c>
      <c r="O82" s="230">
        <f>G82*N82</f>
        <v>94.80000000000001</v>
      </c>
      <c r="P82" s="233"/>
    </row>
    <row r="83" spans="1:16" ht="16.5" thickBot="1">
      <c r="A83" s="823"/>
      <c r="B83" s="824"/>
      <c r="C83" s="825">
        <v>4</v>
      </c>
      <c r="D83" s="826" t="s">
        <v>90</v>
      </c>
      <c r="E83" s="827">
        <f>SUM(E84:E86)</f>
        <v>56250</v>
      </c>
      <c r="F83" s="820"/>
      <c r="G83" s="67">
        <f>G84+G85+G86</f>
        <v>6250</v>
      </c>
      <c r="H83" s="277"/>
      <c r="I83" s="67">
        <f>I84+I85+I86</f>
        <v>5001.25</v>
      </c>
      <c r="J83" s="279"/>
      <c r="K83" s="278"/>
      <c r="L83" s="67">
        <f>L84+L85+L86</f>
        <v>458.75000000000006</v>
      </c>
      <c r="M83" s="280"/>
      <c r="N83" s="281"/>
      <c r="O83" s="67">
        <f>O84+O85+O86</f>
        <v>790.0000000000002</v>
      </c>
      <c r="P83" s="282"/>
    </row>
    <row r="84" spans="1:16" s="143" customFormat="1" ht="16.5" thickBot="1">
      <c r="A84" s="234"/>
      <c r="B84" s="145"/>
      <c r="C84" s="403"/>
      <c r="D84" s="828" t="s">
        <v>319</v>
      </c>
      <c r="E84" s="94">
        <f>G84*9</f>
        <v>45000</v>
      </c>
      <c r="F84" s="47"/>
      <c r="G84" s="829">
        <v>5000</v>
      </c>
      <c r="H84" s="404">
        <v>0.8002</v>
      </c>
      <c r="I84" s="230">
        <f>G84*H84</f>
        <v>4001</v>
      </c>
      <c r="J84" s="231"/>
      <c r="K84" s="232">
        <v>0.0734</v>
      </c>
      <c r="L84" s="230">
        <f>G84*K84</f>
        <v>367.00000000000006</v>
      </c>
      <c r="M84" s="231"/>
      <c r="N84" s="232">
        <v>0.1264</v>
      </c>
      <c r="O84" s="230">
        <f>G84*N84</f>
        <v>632.0000000000001</v>
      </c>
      <c r="P84" s="233"/>
    </row>
    <row r="85" spans="1:16" s="143" customFormat="1" ht="16.5" thickBot="1">
      <c r="A85" s="283"/>
      <c r="B85" s="174"/>
      <c r="C85" s="402"/>
      <c r="D85" s="830" t="s">
        <v>72</v>
      </c>
      <c r="E85" s="94">
        <f>G85*9</f>
        <v>4500</v>
      </c>
      <c r="F85" s="47"/>
      <c r="G85" s="831">
        <v>500</v>
      </c>
      <c r="H85" s="404">
        <v>0.8002</v>
      </c>
      <c r="I85" s="230">
        <f>G85*H85</f>
        <v>400.1</v>
      </c>
      <c r="J85" s="231"/>
      <c r="K85" s="232">
        <v>0.0734</v>
      </c>
      <c r="L85" s="230">
        <f>G85*K85</f>
        <v>36.7</v>
      </c>
      <c r="M85" s="231"/>
      <c r="N85" s="232">
        <v>0.1264</v>
      </c>
      <c r="O85" s="230">
        <f>G85*N85</f>
        <v>63.2</v>
      </c>
      <c r="P85" s="233"/>
    </row>
    <row r="86" spans="1:16" s="143" customFormat="1" ht="16.5" thickBot="1">
      <c r="A86" s="832"/>
      <c r="B86" s="833"/>
      <c r="C86" s="834"/>
      <c r="D86" s="835" t="s">
        <v>91</v>
      </c>
      <c r="E86" s="94">
        <f>G86*9</f>
        <v>6750</v>
      </c>
      <c r="F86" s="47"/>
      <c r="G86" s="836">
        <v>750</v>
      </c>
      <c r="H86" s="404">
        <v>0.8002</v>
      </c>
      <c r="I86" s="230">
        <f>G86*H86</f>
        <v>600.15</v>
      </c>
      <c r="J86" s="231"/>
      <c r="K86" s="232">
        <v>0.0734</v>
      </c>
      <c r="L86" s="230">
        <f>G86*K86</f>
        <v>55.050000000000004</v>
      </c>
      <c r="M86" s="231"/>
      <c r="N86" s="232">
        <v>0.1264</v>
      </c>
      <c r="O86" s="230">
        <f>G86*N86</f>
        <v>94.80000000000001</v>
      </c>
      <c r="P86" s="233"/>
    </row>
    <row r="87" spans="1:16" ht="35.25" customHeight="1" thickBot="1">
      <c r="A87" s="285">
        <v>1</v>
      </c>
      <c r="B87" s="286">
        <v>4</v>
      </c>
      <c r="C87" s="287"/>
      <c r="D87" s="288" t="s">
        <v>73</v>
      </c>
      <c r="E87" s="837">
        <f>G87*12</f>
        <v>148368</v>
      </c>
      <c r="F87" s="101"/>
      <c r="G87" s="838">
        <v>12364</v>
      </c>
      <c r="H87" s="839">
        <v>0.916</v>
      </c>
      <c r="I87" s="840">
        <f>G87*H87</f>
        <v>11325.424</v>
      </c>
      <c r="J87" s="841">
        <f>I87/I7</f>
        <v>1.1035305810248566</v>
      </c>
      <c r="K87" s="842">
        <v>0.084</v>
      </c>
      <c r="L87" s="840">
        <f>G87*K87</f>
        <v>1038.576</v>
      </c>
      <c r="M87" s="843">
        <f>L87/L7</f>
        <v>1.1040459232486446</v>
      </c>
      <c r="N87" s="844"/>
      <c r="O87" s="845"/>
      <c r="P87" s="846"/>
    </row>
    <row r="88" spans="1:16" s="112" customFormat="1" ht="32.25" thickBot="1">
      <c r="A88" s="83">
        <v>1</v>
      </c>
      <c r="B88" s="297">
        <v>5</v>
      </c>
      <c r="C88" s="298"/>
      <c r="D88" s="66" t="s">
        <v>88</v>
      </c>
      <c r="E88" s="94">
        <f>G88*12</f>
        <v>297313.19999999995</v>
      </c>
      <c r="F88" s="101"/>
      <c r="G88" s="847">
        <v>24776.1</v>
      </c>
      <c r="H88" s="839">
        <v>0.916</v>
      </c>
      <c r="I88" s="840">
        <f>G88*H88</f>
        <v>22694.9076</v>
      </c>
      <c r="J88" s="841">
        <f>I88/I7</f>
        <v>2.21135425659414</v>
      </c>
      <c r="K88" s="842">
        <v>0.084</v>
      </c>
      <c r="L88" s="840">
        <f>G88*K88</f>
        <v>2081.1924</v>
      </c>
      <c r="M88" s="843">
        <f>L88/L7</f>
        <v>2.212386945891357</v>
      </c>
      <c r="N88" s="844"/>
      <c r="O88" s="845"/>
      <c r="P88" s="846"/>
    </row>
    <row r="89" spans="1:16" s="284" customFormat="1" ht="19.5" customHeight="1" thickBot="1">
      <c r="A89" s="1090"/>
      <c r="B89" s="1091"/>
      <c r="C89" s="1091"/>
      <c r="D89" s="1091"/>
      <c r="E89" s="1091"/>
      <c r="F89" s="1091"/>
      <c r="G89" s="1091"/>
      <c r="H89" s="1091"/>
      <c r="I89" s="1091"/>
      <c r="J89" s="1091"/>
      <c r="K89" s="1091"/>
      <c r="L89" s="1091"/>
      <c r="M89" s="1091"/>
      <c r="N89" s="1091"/>
      <c r="O89" s="1091"/>
      <c r="P89" s="1092"/>
    </row>
    <row r="90" spans="1:16" s="284" customFormat="1" ht="18.75" customHeight="1" thickBot="1">
      <c r="A90" s="1093"/>
      <c r="B90" s="1094"/>
      <c r="C90" s="1094"/>
      <c r="D90" s="1094"/>
      <c r="E90" s="1094"/>
      <c r="F90" s="1094"/>
      <c r="G90" s="1094"/>
      <c r="H90" s="1095"/>
      <c r="I90" s="1095"/>
      <c r="J90" s="1095"/>
      <c r="K90" s="1094"/>
      <c r="L90" s="1094"/>
      <c r="M90" s="1094"/>
      <c r="N90" s="1094"/>
      <c r="O90" s="1094"/>
      <c r="P90" s="1096"/>
    </row>
    <row r="91" spans="1:18" ht="38.25" thickBot="1">
      <c r="A91" s="308">
        <v>1</v>
      </c>
      <c r="B91" s="309">
        <v>6</v>
      </c>
      <c r="C91" s="310"/>
      <c r="D91" s="574" t="s">
        <v>74</v>
      </c>
      <c r="E91" s="311">
        <f>SUM(E94,E98,E99,E93,E92)</f>
        <v>1629951.3</v>
      </c>
      <c r="F91" s="101"/>
      <c r="G91" s="311">
        <f>SUM(G94,G98,G99,G93,G92)</f>
        <v>181105.7</v>
      </c>
      <c r="H91" s="312"/>
      <c r="I91" s="311">
        <f>SUM(I94,I98,I99,I93,I92)</f>
        <v>129109.95361341712</v>
      </c>
      <c r="J91" s="313"/>
      <c r="K91" s="314"/>
      <c r="L91" s="311">
        <f>SUM(L94,L98,L99,L93,L92)</f>
        <v>36574.19278658289</v>
      </c>
      <c r="M91" s="315"/>
      <c r="N91" s="316"/>
      <c r="O91" s="311">
        <f>SUM(O94,O98,O99,O93,O92)</f>
        <v>15421.553600000001</v>
      </c>
      <c r="P91" s="317"/>
      <c r="Q91" s="318"/>
      <c r="R91" s="318"/>
    </row>
    <row r="92" spans="1:16" s="244" customFormat="1" ht="65.25" customHeight="1" thickBot="1">
      <c r="A92" s="319"/>
      <c r="B92" s="320"/>
      <c r="C92" s="321">
        <v>1</v>
      </c>
      <c r="D92" s="322" t="s">
        <v>75</v>
      </c>
      <c r="E92" s="94">
        <f aca="true" t="shared" si="8" ref="E92:E101">G92*9</f>
        <v>100635.3</v>
      </c>
      <c r="F92" s="848"/>
      <c r="G92" s="849">
        <v>11181.7</v>
      </c>
      <c r="H92" s="323" t="s">
        <v>76</v>
      </c>
      <c r="I92" s="324">
        <f>G92*I9</f>
        <v>10242.838813417116</v>
      </c>
      <c r="J92" s="325" t="s">
        <v>77</v>
      </c>
      <c r="K92" s="323" t="s">
        <v>76</v>
      </c>
      <c r="L92" s="326">
        <f>G92*L9</f>
        <v>938.8611865828842</v>
      </c>
      <c r="M92" s="325" t="s">
        <v>77</v>
      </c>
      <c r="N92" s="327"/>
      <c r="O92" s="326">
        <v>0</v>
      </c>
      <c r="P92" s="328"/>
    </row>
    <row r="93" spans="1:16" ht="32.25" thickBot="1">
      <c r="A93" s="329"/>
      <c r="B93" s="330"/>
      <c r="C93" s="331">
        <v>2</v>
      </c>
      <c r="D93" s="332" t="s">
        <v>78</v>
      </c>
      <c r="E93" s="94">
        <f t="shared" si="8"/>
        <v>0</v>
      </c>
      <c r="F93" s="850"/>
      <c r="G93" s="851">
        <v>0</v>
      </c>
      <c r="H93" s="775">
        <v>0.8002</v>
      </c>
      <c r="I93" s="230">
        <f>G93*H93</f>
        <v>0</v>
      </c>
      <c r="J93" s="231">
        <f>I93/I7</f>
        <v>0</v>
      </c>
      <c r="K93" s="232">
        <v>0.0734</v>
      </c>
      <c r="L93" s="230">
        <f>G93*K93</f>
        <v>0</v>
      </c>
      <c r="M93" s="231">
        <f>L93/L7</f>
        <v>0</v>
      </c>
      <c r="N93" s="232">
        <v>0.1264</v>
      </c>
      <c r="O93" s="230">
        <f>G93*N93</f>
        <v>0</v>
      </c>
      <c r="P93" s="233">
        <f>O93/O7</f>
        <v>0</v>
      </c>
    </row>
    <row r="94" spans="1:18" ht="32.25" thickBot="1">
      <c r="A94" s="333"/>
      <c r="B94" s="334"/>
      <c r="C94" s="335">
        <v>3</v>
      </c>
      <c r="D94" s="336" t="s">
        <v>98</v>
      </c>
      <c r="E94" s="94">
        <f t="shared" si="8"/>
        <v>194400</v>
      </c>
      <c r="F94" s="101"/>
      <c r="G94" s="718">
        <f>G95+G96+G97</f>
        <v>21600</v>
      </c>
      <c r="H94" s="852"/>
      <c r="I94" s="337">
        <f>I95+I97</f>
        <v>14591.85</v>
      </c>
      <c r="J94" s="338"/>
      <c r="K94" s="339"/>
      <c r="L94" s="337">
        <f>L95+L97</f>
        <v>1739.5500000000002</v>
      </c>
      <c r="M94" s="338"/>
      <c r="N94" s="339"/>
      <c r="O94" s="337">
        <f>O95+O96+O97</f>
        <v>5268.6</v>
      </c>
      <c r="P94" s="340"/>
      <c r="Q94" s="318"/>
      <c r="R94" s="318"/>
    </row>
    <row r="95" spans="1:16" s="244" customFormat="1" ht="16.5" thickBot="1">
      <c r="A95" s="319"/>
      <c r="B95" s="320"/>
      <c r="C95" s="321"/>
      <c r="D95" s="341" t="s">
        <v>79</v>
      </c>
      <c r="E95" s="94">
        <f t="shared" si="8"/>
        <v>44550</v>
      </c>
      <c r="F95" s="773"/>
      <c r="G95" s="774">
        <v>4950</v>
      </c>
      <c r="H95" s="853">
        <v>0.523</v>
      </c>
      <c r="I95" s="140">
        <f>G95*H95</f>
        <v>2588.85</v>
      </c>
      <c r="J95" s="342">
        <f>I95/I7</f>
        <v>0.25225326174862855</v>
      </c>
      <c r="K95" s="139">
        <v>0.129</v>
      </c>
      <c r="L95" s="140">
        <f>G95*K95</f>
        <v>638.5500000000001</v>
      </c>
      <c r="M95" s="342">
        <f>L95/L7</f>
        <v>0.6788030190283831</v>
      </c>
      <c r="N95" s="139">
        <v>0.348</v>
      </c>
      <c r="O95" s="140">
        <f>G95*N95</f>
        <v>1722.6</v>
      </c>
      <c r="P95" s="854">
        <f>O95/O7</f>
        <v>1.0626183617195837</v>
      </c>
    </row>
    <row r="96" spans="1:16" s="244" customFormat="1" ht="16.5" thickBot="1">
      <c r="A96" s="343"/>
      <c r="B96" s="344"/>
      <c r="C96" s="345"/>
      <c r="D96" s="346" t="s">
        <v>80</v>
      </c>
      <c r="E96" s="94">
        <f t="shared" si="8"/>
        <v>14850</v>
      </c>
      <c r="F96" s="773"/>
      <c r="G96" s="779">
        <v>1650</v>
      </c>
      <c r="H96" s="151"/>
      <c r="I96" s="160"/>
      <c r="J96" s="347"/>
      <c r="K96" s="159"/>
      <c r="L96" s="160"/>
      <c r="M96" s="347"/>
      <c r="N96" s="159">
        <v>1</v>
      </c>
      <c r="O96" s="160">
        <f>G96*N96</f>
        <v>1650</v>
      </c>
      <c r="P96" s="855">
        <f>O96/O7</f>
        <v>1.0178336798080305</v>
      </c>
    </row>
    <row r="97" spans="1:16" s="244" customFormat="1" ht="41.25" customHeight="1" thickBot="1">
      <c r="A97" s="343"/>
      <c r="B97" s="344"/>
      <c r="C97" s="345"/>
      <c r="D97" s="348" t="s">
        <v>81</v>
      </c>
      <c r="E97" s="94">
        <f t="shared" si="8"/>
        <v>135000</v>
      </c>
      <c r="F97" s="848"/>
      <c r="G97" s="856">
        <v>15000</v>
      </c>
      <c r="H97" s="775">
        <v>0.8002</v>
      </c>
      <c r="I97" s="230">
        <f>G97*H97</f>
        <v>12003</v>
      </c>
      <c r="J97" s="231">
        <f>I97/I7</f>
        <v>1.1695524656773426</v>
      </c>
      <c r="K97" s="232">
        <v>0.0734</v>
      </c>
      <c r="L97" s="230">
        <f>G97*K97</f>
        <v>1101</v>
      </c>
      <c r="M97" s="231">
        <f>L97/L7</f>
        <v>1.1704050175401297</v>
      </c>
      <c r="N97" s="232">
        <v>0.1264</v>
      </c>
      <c r="O97" s="230">
        <f>G97*N97</f>
        <v>1896.0000000000002</v>
      </c>
      <c r="P97" s="233">
        <f>O97/O7</f>
        <v>1.1695834284339552</v>
      </c>
    </row>
    <row r="98" spans="1:16" s="244" customFormat="1" ht="48.75" customHeight="1" thickBot="1">
      <c r="A98" s="343"/>
      <c r="B98" s="344"/>
      <c r="C98" s="345">
        <v>4</v>
      </c>
      <c r="D98" s="349" t="s">
        <v>82</v>
      </c>
      <c r="E98" s="94">
        <f t="shared" si="8"/>
        <v>22500</v>
      </c>
      <c r="F98" s="33"/>
      <c r="G98" s="857">
        <v>2500</v>
      </c>
      <c r="H98" s="775">
        <v>0.8002</v>
      </c>
      <c r="I98" s="230">
        <f>G98*H98</f>
        <v>2000.5</v>
      </c>
      <c r="J98" s="231">
        <f>I98/I7</f>
        <v>0.1949254109462238</v>
      </c>
      <c r="K98" s="232">
        <v>0.0734</v>
      </c>
      <c r="L98" s="230">
        <f>G98*K98</f>
        <v>183.50000000000003</v>
      </c>
      <c r="M98" s="231">
        <v>0.19</v>
      </c>
      <c r="N98" s="232">
        <v>0.1264</v>
      </c>
      <c r="O98" s="230">
        <f>G98*N98</f>
        <v>316.00000000000006</v>
      </c>
      <c r="P98" s="233">
        <f>O98/O7</f>
        <v>0.1949305714056592</v>
      </c>
    </row>
    <row r="99" spans="1:16" ht="16.5" thickBot="1">
      <c r="A99" s="343"/>
      <c r="B99" s="350"/>
      <c r="C99" s="351">
        <v>5</v>
      </c>
      <c r="D99" s="352" t="s">
        <v>87</v>
      </c>
      <c r="E99" s="94">
        <f t="shared" si="8"/>
        <v>1312416</v>
      </c>
      <c r="F99" s="33"/>
      <c r="G99" s="718">
        <f>98*2*24*31</f>
        <v>145824</v>
      </c>
      <c r="H99" s="858"/>
      <c r="I99" s="353">
        <f>I100+I101</f>
        <v>102274.7648</v>
      </c>
      <c r="J99" s="354"/>
      <c r="K99" s="355"/>
      <c r="L99" s="353">
        <f>L100+L101</f>
        <v>33712.2816</v>
      </c>
      <c r="M99" s="354"/>
      <c r="N99" s="356"/>
      <c r="O99" s="353">
        <f>O100+O101</f>
        <v>9836.9536</v>
      </c>
      <c r="P99" s="62"/>
    </row>
    <row r="100" spans="1:16" ht="36.75" customHeight="1" thickBot="1">
      <c r="A100" s="343"/>
      <c r="B100" s="350"/>
      <c r="C100" s="351"/>
      <c r="D100" s="357" t="s">
        <v>83</v>
      </c>
      <c r="E100" s="94">
        <f t="shared" si="8"/>
        <v>700416</v>
      </c>
      <c r="F100" s="859"/>
      <c r="G100" s="860">
        <f>G99-G101</f>
        <v>77824</v>
      </c>
      <c r="H100" s="775">
        <v>0.8002</v>
      </c>
      <c r="I100" s="230">
        <f>G100*H100</f>
        <v>62274.764800000004</v>
      </c>
      <c r="J100" s="231">
        <f>I100/I7</f>
        <v>6.067950072591568</v>
      </c>
      <c r="K100" s="232">
        <v>0.0734</v>
      </c>
      <c r="L100" s="230">
        <f>G100*K100</f>
        <v>5712.2816</v>
      </c>
      <c r="M100" s="231">
        <f>L100/L7</f>
        <v>6.07237333900287</v>
      </c>
      <c r="N100" s="232">
        <v>0.1264</v>
      </c>
      <c r="O100" s="230">
        <f>G100*N100</f>
        <v>9836.9536</v>
      </c>
      <c r="P100" s="233">
        <f>O100/O7</f>
        <v>6.068110715629608</v>
      </c>
    </row>
    <row r="101" spans="1:16" ht="37.5" customHeight="1" thickBot="1">
      <c r="A101" s="333"/>
      <c r="B101" s="334"/>
      <c r="C101" s="335"/>
      <c r="D101" s="861" t="s">
        <v>89</v>
      </c>
      <c r="E101" s="94">
        <f t="shared" si="8"/>
        <v>612000</v>
      </c>
      <c r="F101" s="33"/>
      <c r="G101" s="862">
        <f>I101+L101</f>
        <v>68000</v>
      </c>
      <c r="H101" s="358" t="s">
        <v>84</v>
      </c>
      <c r="I101" s="359">
        <v>40000</v>
      </c>
      <c r="J101" s="360"/>
      <c r="K101" s="358" t="s">
        <v>84</v>
      </c>
      <c r="L101" s="110">
        <v>28000</v>
      </c>
      <c r="M101" s="361"/>
      <c r="N101" s="96"/>
      <c r="O101" s="110">
        <v>0</v>
      </c>
      <c r="P101" s="62"/>
    </row>
    <row r="102" spans="1:16" s="105" customFormat="1" ht="16.5" thickBot="1">
      <c r="A102" s="362"/>
      <c r="B102" s="362"/>
      <c r="C102" s="362"/>
      <c r="D102" s="363"/>
      <c r="E102" s="117"/>
      <c r="F102" s="117"/>
      <c r="G102" s="196"/>
      <c r="H102" s="197"/>
      <c r="I102" s="364"/>
      <c r="J102" s="365"/>
      <c r="K102" s="366"/>
      <c r="L102" s="364"/>
      <c r="M102" s="365"/>
      <c r="N102" s="366"/>
      <c r="O102" s="364"/>
      <c r="P102" s="198"/>
    </row>
    <row r="103" spans="1:16" s="105" customFormat="1" ht="48.75" customHeight="1" thickBot="1">
      <c r="A103" s="333"/>
      <c r="B103" s="334"/>
      <c r="C103" s="863"/>
      <c r="D103" s="864" t="s">
        <v>320</v>
      </c>
      <c r="E103" s="314"/>
      <c r="F103" s="865"/>
      <c r="G103" s="866"/>
      <c r="H103" s="867"/>
      <c r="I103" s="868">
        <f>I91-I101</f>
        <v>89109.95361341712</v>
      </c>
      <c r="J103" s="869">
        <f>SUM(J93:J102)</f>
        <v>7.684681210963763</v>
      </c>
      <c r="K103" s="870"/>
      <c r="L103" s="868">
        <f>L91-L101</f>
        <v>8574.192786582891</v>
      </c>
      <c r="M103" s="869">
        <f>SUM(M93:M102)</f>
        <v>8.111581375571383</v>
      </c>
      <c r="N103" s="870"/>
      <c r="O103" s="868">
        <f>O91</f>
        <v>15421.553600000001</v>
      </c>
      <c r="P103" s="869">
        <f>SUM(P93:P102)</f>
        <v>9.513076756996837</v>
      </c>
    </row>
    <row r="104" spans="1:16" s="105" customFormat="1" ht="17.25" customHeight="1" thickBot="1">
      <c r="A104" s="362"/>
      <c r="B104" s="362"/>
      <c r="C104" s="362"/>
      <c r="D104" s="363"/>
      <c r="E104" s="117"/>
      <c r="F104" s="117"/>
      <c r="G104" s="196"/>
      <c r="H104" s="197"/>
      <c r="I104" s="364"/>
      <c r="J104" s="367"/>
      <c r="K104" s="366"/>
      <c r="L104" s="364"/>
      <c r="M104" s="367"/>
      <c r="N104" s="366"/>
      <c r="O104" s="364"/>
      <c r="P104" s="367"/>
    </row>
    <row r="105" spans="4:7" ht="75.75" customHeight="1" thickBot="1">
      <c r="D105" s="1087" t="s">
        <v>423</v>
      </c>
      <c r="E105" s="1088"/>
      <c r="F105" s="1088"/>
      <c r="G105" s="1089"/>
    </row>
    <row r="107" ht="15.75">
      <c r="P107" s="11"/>
    </row>
  </sheetData>
  <sheetProtection/>
  <mergeCells count="9">
    <mergeCell ref="D105:G105"/>
    <mergeCell ref="A89:P89"/>
    <mergeCell ref="A90:P90"/>
    <mergeCell ref="D1:K1"/>
    <mergeCell ref="C2:L2"/>
    <mergeCell ref="D3:J3"/>
    <mergeCell ref="D4:E4"/>
    <mergeCell ref="A10:P10"/>
    <mergeCell ref="H32:P32"/>
  </mergeCells>
  <printOptions/>
  <pageMargins left="0.58" right="0.28" top="0.37" bottom="0.26" header="0.18" footer="0.18"/>
  <pageSetup fitToHeight="5" fitToWidth="1" horizontalDpi="600" verticalDpi="600" orientation="landscape" paperSize="9" scale="46" r:id="rId1"/>
</worksheet>
</file>

<file path=xl/worksheets/sheet3.xml><?xml version="1.0" encoding="utf-8"?>
<worksheet xmlns="http://schemas.openxmlformats.org/spreadsheetml/2006/main" xmlns:r="http://schemas.openxmlformats.org/officeDocument/2006/relationships">
  <sheetPr>
    <pageSetUpPr fitToPage="1"/>
  </sheetPr>
  <dimension ref="A1:F23"/>
  <sheetViews>
    <sheetView zoomScalePageLayoutView="0" workbookViewId="0" topLeftCell="A13">
      <selection activeCell="H19" sqref="H19"/>
    </sheetView>
  </sheetViews>
  <sheetFormatPr defaultColWidth="9.00390625" defaultRowHeight="12.75"/>
  <cols>
    <col min="1" max="1" width="26.875" style="0" customWidth="1"/>
    <col min="2" max="2" width="21.625" style="0" customWidth="1"/>
    <col min="3" max="3" width="24.00390625" style="0" customWidth="1"/>
    <col min="4" max="4" width="31.125" style="0" customWidth="1"/>
  </cols>
  <sheetData>
    <row r="1" spans="1:6" s="598" customFormat="1" ht="18.75">
      <c r="A1" s="1041" t="s">
        <v>1</v>
      </c>
      <c r="B1" s="1041"/>
      <c r="C1" s="1041"/>
      <c r="D1" s="1041"/>
      <c r="E1" s="596"/>
      <c r="F1" s="597"/>
    </row>
    <row r="2" spans="1:4" s="595" customFormat="1" ht="35.25" customHeight="1">
      <c r="A2" s="1034" t="s">
        <v>256</v>
      </c>
      <c r="B2" s="1034"/>
      <c r="C2" s="1034"/>
      <c r="D2" s="1034"/>
    </row>
    <row r="3" s="598" customFormat="1" ht="19.5" thickBot="1"/>
    <row r="4" spans="1:4" s="599" customFormat="1" ht="39.75" customHeight="1" thickBot="1">
      <c r="A4" s="1074" t="s">
        <v>287</v>
      </c>
      <c r="B4" s="1075"/>
      <c r="C4" s="1075"/>
      <c r="D4" s="1076"/>
    </row>
    <row r="5" spans="1:4" s="600" customFormat="1" ht="15.75" thickBot="1">
      <c r="A5" s="601"/>
      <c r="B5" s="602"/>
      <c r="C5" s="603"/>
      <c r="D5" s="604"/>
    </row>
    <row r="6" spans="1:4" s="599" customFormat="1" ht="32.25" thickBot="1">
      <c r="A6" s="605" t="s">
        <v>244</v>
      </c>
      <c r="B6" s="606" t="s">
        <v>245</v>
      </c>
      <c r="C6" s="607" t="s">
        <v>246</v>
      </c>
      <c r="D6" s="608" t="s">
        <v>247</v>
      </c>
    </row>
    <row r="7" spans="1:4" s="600" customFormat="1" ht="15.75" thickBot="1">
      <c r="A7" s="1077" t="s">
        <v>298</v>
      </c>
      <c r="B7" s="609"/>
      <c r="C7" s="610"/>
      <c r="D7" s="611"/>
    </row>
    <row r="8" spans="1:4" s="600" customFormat="1" ht="30.75" thickBot="1">
      <c r="A8" s="1078"/>
      <c r="B8" s="609" t="s">
        <v>248</v>
      </c>
      <c r="C8" s="612">
        <v>24000</v>
      </c>
      <c r="D8" s="611" t="s">
        <v>249</v>
      </c>
    </row>
    <row r="9" spans="1:4" s="600" customFormat="1" ht="45.75" thickBot="1">
      <c r="A9" s="1078"/>
      <c r="B9" s="613" t="s">
        <v>250</v>
      </c>
      <c r="C9" s="614">
        <v>6000</v>
      </c>
      <c r="D9" s="615" t="s">
        <v>251</v>
      </c>
    </row>
    <row r="10" spans="1:4" s="600" customFormat="1" ht="15.75" thickBot="1">
      <c r="A10" s="1078"/>
      <c r="B10" s="613" t="s">
        <v>252</v>
      </c>
      <c r="C10" s="614">
        <v>6600</v>
      </c>
      <c r="D10" s="615" t="s">
        <v>253</v>
      </c>
    </row>
    <row r="11" spans="1:4" s="600" customFormat="1" ht="15.75" thickBot="1">
      <c r="A11" s="616" t="s">
        <v>254</v>
      </c>
      <c r="B11" s="617"/>
      <c r="C11" s="618">
        <f>SUM(C7:C10)</f>
        <v>36600</v>
      </c>
      <c r="D11" s="619"/>
    </row>
    <row r="12" spans="1:4" s="600" customFormat="1" ht="15" thickBot="1">
      <c r="A12" s="620"/>
      <c r="B12" s="621"/>
      <c r="C12" s="618"/>
      <c r="D12" s="622"/>
    </row>
    <row r="13" spans="1:4" s="623" customFormat="1" ht="43.5" thickBot="1">
      <c r="A13" s="624" t="s">
        <v>255</v>
      </c>
      <c r="B13" s="625"/>
      <c r="C13" s="679">
        <f>7%*C11</f>
        <v>2562.0000000000005</v>
      </c>
      <c r="D13" s="626" t="s">
        <v>297</v>
      </c>
    </row>
    <row r="14" spans="1:4" s="627" customFormat="1" ht="19.5" thickBot="1">
      <c r="A14" s="628" t="s">
        <v>288</v>
      </c>
      <c r="B14" s="629"/>
      <c r="C14" s="680">
        <f>C11-C13</f>
        <v>34038</v>
      </c>
      <c r="D14" s="630" t="s">
        <v>289</v>
      </c>
    </row>
    <row r="15" spans="1:4" s="627" customFormat="1" ht="16.5" thickBot="1">
      <c r="A15" s="363"/>
      <c r="B15" s="631"/>
      <c r="C15" s="631"/>
      <c r="D15" s="632"/>
    </row>
    <row r="16" spans="1:4" s="627" customFormat="1" ht="52.5" customHeight="1" thickBot="1">
      <c r="A16" s="1072" t="s">
        <v>290</v>
      </c>
      <c r="B16" s="1073"/>
      <c r="C16" s="1073"/>
      <c r="D16" s="1038"/>
    </row>
    <row r="17" spans="1:4" s="567" customFormat="1" ht="30.75" thickBot="1">
      <c r="A17" s="567" t="s">
        <v>296</v>
      </c>
      <c r="B17" s="689">
        <v>69474</v>
      </c>
      <c r="C17" s="685"/>
      <c r="D17" s="684"/>
    </row>
    <row r="18" spans="1:4" s="634" customFormat="1" ht="63">
      <c r="A18" s="681" t="s">
        <v>294</v>
      </c>
      <c r="B18" s="690">
        <v>29910</v>
      </c>
      <c r="C18" s="686"/>
      <c r="D18" s="1039" t="s">
        <v>292</v>
      </c>
    </row>
    <row r="19" spans="1:4" s="634" customFormat="1" ht="63">
      <c r="A19" s="682" t="s">
        <v>295</v>
      </c>
      <c r="B19" s="691">
        <f>12825*2*12</f>
        <v>307800</v>
      </c>
      <c r="C19" s="687"/>
      <c r="D19" s="1040"/>
    </row>
    <row r="20" spans="1:4" s="634" customFormat="1" ht="95.25" thickBot="1">
      <c r="A20" s="683" t="s">
        <v>300</v>
      </c>
      <c r="B20" s="692">
        <f>C14</f>
        <v>34038</v>
      </c>
      <c r="C20" s="688"/>
      <c r="D20" s="1040"/>
    </row>
    <row r="21" spans="1:4" s="633" customFormat="1" ht="32.25" thickBot="1">
      <c r="A21" s="693" t="s">
        <v>291</v>
      </c>
      <c r="B21" s="694">
        <f>SUM(B17:B20)</f>
        <v>441222</v>
      </c>
      <c r="C21" s="695"/>
      <c r="D21" s="695"/>
    </row>
    <row r="22" spans="1:4" s="634" customFormat="1" ht="24" customHeight="1">
      <c r="A22" s="876" t="s">
        <v>301</v>
      </c>
      <c r="B22" s="877"/>
      <c r="C22" s="877"/>
      <c r="D22" s="878"/>
    </row>
    <row r="23" spans="1:4" s="696" customFormat="1" ht="113.25" thickBot="1">
      <c r="A23" s="879" t="s">
        <v>322</v>
      </c>
      <c r="B23" s="882">
        <f>10262.9*40</f>
        <v>410516</v>
      </c>
      <c r="C23" s="880"/>
      <c r="D23" s="881"/>
    </row>
  </sheetData>
  <sheetProtection/>
  <mergeCells count="6">
    <mergeCell ref="A16:D16"/>
    <mergeCell ref="D18:D20"/>
    <mergeCell ref="A1:D1"/>
    <mergeCell ref="A2:D2"/>
    <mergeCell ref="A4:D4"/>
    <mergeCell ref="A7:A10"/>
  </mergeCells>
  <printOptions/>
  <pageMargins left="0.4724409448818898" right="0.2755905511811024" top="0.7480314960629921" bottom="0.7480314960629921" header="0.31496062992125984" footer="0.31496062992125984"/>
  <pageSetup fitToHeight="1" fitToWidth="1"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G114"/>
  <sheetViews>
    <sheetView zoomScalePageLayoutView="0" workbookViewId="0" topLeftCell="A1">
      <selection activeCell="D16" sqref="D16"/>
    </sheetView>
  </sheetViews>
  <sheetFormatPr defaultColWidth="9.00390625" defaultRowHeight="12.75"/>
  <cols>
    <col min="1" max="1" width="5.375" style="1042" customWidth="1"/>
    <col min="2" max="2" width="58.25390625" style="1042" customWidth="1"/>
    <col min="3" max="3" width="15.25390625" style="1042" customWidth="1"/>
    <col min="4" max="4" width="21.125" style="1042" customWidth="1"/>
    <col min="5" max="5" width="22.125" style="1043" customWidth="1"/>
    <col min="6" max="6" width="25.375" style="1042" customWidth="1"/>
    <col min="7" max="7" width="23.625" style="1042" customWidth="1"/>
    <col min="8" max="16384" width="9.125" style="1042" customWidth="1"/>
  </cols>
  <sheetData>
    <row r="1" spans="1:7" s="1037" customFormat="1" ht="39" customHeight="1">
      <c r="A1" s="1117" t="s">
        <v>431</v>
      </c>
      <c r="B1" s="1117"/>
      <c r="C1" s="1117"/>
      <c r="D1" s="1117"/>
      <c r="E1" s="1117"/>
      <c r="F1" s="1118" t="s">
        <v>432</v>
      </c>
      <c r="G1" s="1118"/>
    </row>
    <row r="2" spans="1:7" s="1037" customFormat="1" ht="39" customHeight="1">
      <c r="A2" s="1035"/>
      <c r="B2" s="1035"/>
      <c r="C2" s="1035"/>
      <c r="D2" s="1035"/>
      <c r="E2" s="1035"/>
      <c r="F2" s="1118" t="s">
        <v>433</v>
      </c>
      <c r="G2" s="1118"/>
    </row>
    <row r="3" spans="1:7" s="1037" customFormat="1" ht="35.25" customHeight="1">
      <c r="A3" s="1035"/>
      <c r="B3" s="1035"/>
      <c r="C3" s="1035"/>
      <c r="D3" s="1035"/>
      <c r="E3" s="1035"/>
      <c r="F3" s="1118" t="s">
        <v>434</v>
      </c>
      <c r="G3" s="1118"/>
    </row>
    <row r="4" spans="1:7" s="1037" customFormat="1" ht="35.25" customHeight="1">
      <c r="A4" s="1035"/>
      <c r="B4" s="1035"/>
      <c r="C4" s="1035"/>
      <c r="D4" s="1035"/>
      <c r="E4" s="1035"/>
      <c r="F4" s="1036"/>
      <c r="G4" s="1036"/>
    </row>
    <row r="5" ht="24" customHeight="1" thickBot="1"/>
    <row r="6" spans="1:7" s="1048" customFormat="1" ht="48" thickBot="1">
      <c r="A6" s="1044" t="s">
        <v>435</v>
      </c>
      <c r="B6" s="1045" t="s">
        <v>436</v>
      </c>
      <c r="C6" s="1045" t="s">
        <v>437</v>
      </c>
      <c r="D6" s="1045" t="s">
        <v>438</v>
      </c>
      <c r="E6" s="1046" t="s">
        <v>439</v>
      </c>
      <c r="F6" s="1045" t="s">
        <v>440</v>
      </c>
      <c r="G6" s="1047" t="s">
        <v>441</v>
      </c>
    </row>
    <row r="7" spans="1:7" s="1053" customFormat="1" ht="31.5">
      <c r="A7" s="1049">
        <v>1</v>
      </c>
      <c r="B7" s="1050" t="s">
        <v>442</v>
      </c>
      <c r="C7" s="1050" t="s">
        <v>443</v>
      </c>
      <c r="D7" s="1050" t="s">
        <v>444</v>
      </c>
      <c r="E7" s="1051">
        <v>15000</v>
      </c>
      <c r="F7" s="1050" t="s">
        <v>445</v>
      </c>
      <c r="G7" s="1052" t="s">
        <v>446</v>
      </c>
    </row>
    <row r="8" spans="1:7" s="1053" customFormat="1" ht="31.5">
      <c r="A8" s="1049">
        <v>2</v>
      </c>
      <c r="B8" s="1050" t="s">
        <v>447</v>
      </c>
      <c r="C8" s="1050" t="s">
        <v>448</v>
      </c>
      <c r="D8" s="1050" t="s">
        <v>449</v>
      </c>
      <c r="E8" s="1054">
        <v>15000</v>
      </c>
      <c r="F8" s="1050" t="s">
        <v>450</v>
      </c>
      <c r="G8" s="1052" t="s">
        <v>451</v>
      </c>
    </row>
    <row r="9" spans="1:7" s="1053" customFormat="1" ht="31.5">
      <c r="A9" s="1049">
        <v>3</v>
      </c>
      <c r="B9" s="1050" t="s">
        <v>452</v>
      </c>
      <c r="C9" s="1050" t="s">
        <v>453</v>
      </c>
      <c r="D9" s="1050" t="s">
        <v>454</v>
      </c>
      <c r="E9" s="1051">
        <v>5000</v>
      </c>
      <c r="F9" s="1050" t="s">
        <v>455</v>
      </c>
      <c r="G9" s="1055" t="s">
        <v>456</v>
      </c>
    </row>
    <row r="10" spans="1:7" s="1053" customFormat="1" ht="47.25">
      <c r="A10" s="1049">
        <v>4</v>
      </c>
      <c r="B10" s="1050" t="s">
        <v>457</v>
      </c>
      <c r="C10" s="1050" t="s">
        <v>458</v>
      </c>
      <c r="D10" s="1050" t="s">
        <v>459</v>
      </c>
      <c r="E10" s="1054">
        <v>650000</v>
      </c>
      <c r="F10" s="1050" t="s">
        <v>455</v>
      </c>
      <c r="G10" s="1055" t="s">
        <v>460</v>
      </c>
    </row>
    <row r="11" spans="1:7" s="1053" customFormat="1" ht="31.5">
      <c r="A11" s="1049">
        <v>5</v>
      </c>
      <c r="B11" s="1050" t="s">
        <v>461</v>
      </c>
      <c r="C11" s="1050" t="s">
        <v>462</v>
      </c>
      <c r="D11" s="1050" t="s">
        <v>463</v>
      </c>
      <c r="E11" s="1051">
        <v>40000</v>
      </c>
      <c r="F11" s="1050" t="s">
        <v>450</v>
      </c>
      <c r="G11" s="1052" t="s">
        <v>464</v>
      </c>
    </row>
    <row r="12" spans="1:7" s="1053" customFormat="1" ht="15.75">
      <c r="A12" s="1049">
        <v>6</v>
      </c>
      <c r="B12" s="1050" t="s">
        <v>465</v>
      </c>
      <c r="C12" s="1050"/>
      <c r="D12" s="1050"/>
      <c r="E12" s="1051"/>
      <c r="F12" s="1050"/>
      <c r="G12" s="1052"/>
    </row>
    <row r="13" spans="1:7" s="1053" customFormat="1" ht="36.75" customHeight="1">
      <c r="A13" s="1049"/>
      <c r="B13" s="1056" t="s">
        <v>466</v>
      </c>
      <c r="C13" s="1050" t="s">
        <v>467</v>
      </c>
      <c r="D13" s="1050"/>
      <c r="E13" s="1051">
        <v>12000</v>
      </c>
      <c r="F13" s="1050" t="s">
        <v>468</v>
      </c>
      <c r="G13" s="1052" t="s">
        <v>469</v>
      </c>
    </row>
    <row r="14" spans="1:7" s="1053" customFormat="1" ht="38.25" customHeight="1">
      <c r="A14" s="1049"/>
      <c r="B14" s="1056" t="s">
        <v>470</v>
      </c>
      <c r="C14" s="1050" t="s">
        <v>471</v>
      </c>
      <c r="D14" s="1050"/>
      <c r="E14" s="1051">
        <v>10000</v>
      </c>
      <c r="F14" s="1050"/>
      <c r="G14" s="1052" t="s">
        <v>469</v>
      </c>
    </row>
    <row r="15" spans="1:7" s="1053" customFormat="1" ht="39" customHeight="1">
      <c r="A15" s="1049"/>
      <c r="B15" s="1056" t="s">
        <v>472</v>
      </c>
      <c r="C15" s="1050"/>
      <c r="D15" s="1050"/>
      <c r="E15" s="1051">
        <v>4000</v>
      </c>
      <c r="F15" s="1050"/>
      <c r="G15" s="1052" t="s">
        <v>469</v>
      </c>
    </row>
    <row r="16" spans="1:7" s="1053" customFormat="1" ht="40.5" customHeight="1">
      <c r="A16" s="1049"/>
      <c r="B16" s="1056" t="s">
        <v>473</v>
      </c>
      <c r="C16" s="1050"/>
      <c r="D16" s="1050"/>
      <c r="E16" s="1051">
        <v>10000</v>
      </c>
      <c r="F16" s="1050"/>
      <c r="G16" s="1052" t="s">
        <v>469</v>
      </c>
    </row>
    <row r="17" spans="1:7" s="1053" customFormat="1" ht="63">
      <c r="A17" s="1049">
        <v>7</v>
      </c>
      <c r="B17" s="1050" t="s">
        <v>474</v>
      </c>
      <c r="C17" s="1050" t="s">
        <v>475</v>
      </c>
      <c r="D17" s="1050" t="s">
        <v>444</v>
      </c>
      <c r="E17" s="1051">
        <v>12000</v>
      </c>
      <c r="F17" s="1050" t="s">
        <v>450</v>
      </c>
      <c r="G17" s="1052" t="s">
        <v>476</v>
      </c>
    </row>
    <row r="18" spans="1:7" s="1053" customFormat="1" ht="47.25">
      <c r="A18" s="1049">
        <v>8</v>
      </c>
      <c r="B18" s="1050" t="s">
        <v>477</v>
      </c>
      <c r="C18" s="1050" t="s">
        <v>478</v>
      </c>
      <c r="D18" s="1050" t="s">
        <v>479</v>
      </c>
      <c r="E18" s="1051">
        <v>10000</v>
      </c>
      <c r="F18" s="1050" t="s">
        <v>480</v>
      </c>
      <c r="G18" s="1052" t="s">
        <v>469</v>
      </c>
    </row>
    <row r="19" spans="1:7" s="1053" customFormat="1" ht="47.25">
      <c r="A19" s="1049">
        <v>9</v>
      </c>
      <c r="B19" s="1050" t="s">
        <v>481</v>
      </c>
      <c r="C19" s="1050" t="s">
        <v>478</v>
      </c>
      <c r="D19" s="1050" t="s">
        <v>479</v>
      </c>
      <c r="E19" s="1051">
        <v>3500</v>
      </c>
      <c r="F19" s="1050" t="s">
        <v>480</v>
      </c>
      <c r="G19" s="1052" t="s">
        <v>469</v>
      </c>
    </row>
    <row r="20" spans="1:7" s="1053" customFormat="1" ht="47.25">
      <c r="A20" s="1049">
        <v>10</v>
      </c>
      <c r="B20" s="1050" t="s">
        <v>482</v>
      </c>
      <c r="C20" s="1050" t="s">
        <v>483</v>
      </c>
      <c r="D20" s="1050" t="s">
        <v>484</v>
      </c>
      <c r="E20" s="1051"/>
      <c r="F20" s="1050"/>
      <c r="G20" s="1052" t="s">
        <v>485</v>
      </c>
    </row>
    <row r="21" spans="1:7" s="1053" customFormat="1" ht="15.75">
      <c r="A21" s="1049">
        <v>11</v>
      </c>
      <c r="B21" s="1050" t="s">
        <v>486</v>
      </c>
      <c r="C21" s="1050" t="s">
        <v>487</v>
      </c>
      <c r="D21" s="1050" t="s">
        <v>488</v>
      </c>
      <c r="E21" s="1051"/>
      <c r="F21" s="1050" t="s">
        <v>450</v>
      </c>
      <c r="G21" s="1052" t="s">
        <v>489</v>
      </c>
    </row>
    <row r="22" spans="1:7" s="1053" customFormat="1" ht="63">
      <c r="A22" s="1049">
        <v>12</v>
      </c>
      <c r="B22" s="1050" t="s">
        <v>490</v>
      </c>
      <c r="C22" s="1050" t="s">
        <v>491</v>
      </c>
      <c r="D22" s="1050" t="s">
        <v>492</v>
      </c>
      <c r="E22" s="1051">
        <v>21000</v>
      </c>
      <c r="F22" s="1050" t="s">
        <v>480</v>
      </c>
      <c r="G22" s="1052" t="s">
        <v>476</v>
      </c>
    </row>
    <row r="23" spans="1:7" s="1053" customFormat="1" ht="63">
      <c r="A23" s="1049">
        <v>13</v>
      </c>
      <c r="B23" s="1050" t="s">
        <v>493</v>
      </c>
      <c r="C23" s="1050" t="s">
        <v>494</v>
      </c>
      <c r="D23" s="1050" t="s">
        <v>495</v>
      </c>
      <c r="E23" s="1051">
        <v>7000</v>
      </c>
      <c r="F23" s="1050" t="s">
        <v>480</v>
      </c>
      <c r="G23" s="1052" t="s">
        <v>476</v>
      </c>
    </row>
    <row r="24" spans="1:7" s="1053" customFormat="1" ht="31.5">
      <c r="A24" s="1049">
        <v>14</v>
      </c>
      <c r="B24" s="1050" t="s">
        <v>496</v>
      </c>
      <c r="C24" s="1050" t="s">
        <v>497</v>
      </c>
      <c r="D24" s="1050" t="s">
        <v>492</v>
      </c>
      <c r="E24" s="1051">
        <v>25000</v>
      </c>
      <c r="F24" s="1050"/>
      <c r="G24" s="1055" t="s">
        <v>456</v>
      </c>
    </row>
    <row r="25" spans="1:7" s="1053" customFormat="1" ht="63">
      <c r="A25" s="1049">
        <v>15</v>
      </c>
      <c r="B25" s="1050" t="s">
        <v>498</v>
      </c>
      <c r="C25" s="1050" t="s">
        <v>499</v>
      </c>
      <c r="D25" s="1050" t="s">
        <v>500</v>
      </c>
      <c r="E25" s="1051">
        <v>60000</v>
      </c>
      <c r="F25" s="1050" t="s">
        <v>450</v>
      </c>
      <c r="G25" s="1052" t="s">
        <v>476</v>
      </c>
    </row>
    <row r="26" spans="1:7" s="1053" customFormat="1" ht="32.25" thickBot="1">
      <c r="A26" s="1057">
        <v>16</v>
      </c>
      <c r="B26" s="1058" t="s">
        <v>501</v>
      </c>
      <c r="C26" s="1058" t="s">
        <v>502</v>
      </c>
      <c r="D26" s="1058" t="s">
        <v>503</v>
      </c>
      <c r="E26" s="1059">
        <v>100000</v>
      </c>
      <c r="F26" s="1050" t="s">
        <v>450</v>
      </c>
      <c r="G26" s="1052" t="s">
        <v>464</v>
      </c>
    </row>
    <row r="27" spans="1:7" s="1053" customFormat="1" ht="16.5" thickBot="1">
      <c r="A27" s="1060"/>
      <c r="B27" s="1061" t="s">
        <v>504</v>
      </c>
      <c r="C27" s="1062"/>
      <c r="D27" s="1062"/>
      <c r="E27" s="1063">
        <f>SUM(E7:E26)</f>
        <v>999500</v>
      </c>
      <c r="F27" s="1062"/>
      <c r="G27" s="1064"/>
    </row>
    <row r="28" spans="1:7" s="1069" customFormat="1" ht="15.75" thickBot="1">
      <c r="A28" s="1065"/>
      <c r="B28" s="1066"/>
      <c r="C28" s="1066"/>
      <c r="D28" s="1066"/>
      <c r="E28" s="1067"/>
      <c r="F28" s="1066"/>
      <c r="G28" s="1068"/>
    </row>
    <row r="29" s="1070" customFormat="1" ht="15">
      <c r="E29" s="1071"/>
    </row>
    <row r="112" s="1070" customFormat="1" ht="15">
      <c r="E112" s="1071"/>
    </row>
    <row r="113" s="1070" customFormat="1" ht="15">
      <c r="E113" s="1071"/>
    </row>
    <row r="114" s="1070" customFormat="1" ht="15">
      <c r="E114" s="1071"/>
    </row>
  </sheetData>
  <sheetProtection/>
  <mergeCells count="4">
    <mergeCell ref="A1:E1"/>
    <mergeCell ref="F1:G1"/>
    <mergeCell ref="F2:G2"/>
    <mergeCell ref="F3:G3"/>
  </mergeCells>
  <printOptions/>
  <pageMargins left="0.7" right="0.7" top="0.75" bottom="0.75" header="0.3" footer="0.3"/>
  <pageSetup fitToHeight="1" fitToWidth="1" horizontalDpi="600" verticalDpi="600" orientation="portrait" paperSize="9" scale="52" r:id="rId1"/>
</worksheet>
</file>

<file path=xl/worksheets/sheet5.xml><?xml version="1.0" encoding="utf-8"?>
<worksheet xmlns="http://schemas.openxmlformats.org/spreadsheetml/2006/main" xmlns:r="http://schemas.openxmlformats.org/officeDocument/2006/relationships">
  <sheetPr>
    <pageSetUpPr fitToPage="1"/>
  </sheetPr>
  <dimension ref="A1:Y104"/>
  <sheetViews>
    <sheetView zoomScale="75" zoomScaleNormal="75" zoomScalePageLayoutView="0" workbookViewId="0" topLeftCell="B1">
      <pane ySplit="6" topLeftCell="BM94" activePane="bottomLeft" state="frozen"/>
      <selection pane="topLeft" activeCell="A1" sqref="A1"/>
      <selection pane="bottomLeft" activeCell="D108" sqref="D108"/>
    </sheetView>
  </sheetViews>
  <sheetFormatPr defaultColWidth="10.375" defaultRowHeight="12.75"/>
  <cols>
    <col min="1" max="1" width="5.00390625" style="1" customWidth="1"/>
    <col min="2" max="2" width="5.25390625" style="2" customWidth="1"/>
    <col min="3" max="3" width="4.75390625" style="2" customWidth="1"/>
    <col min="4" max="4" width="81.75390625" style="368" customWidth="1"/>
    <col min="5" max="5" width="19.25390625" style="7" customWidth="1"/>
    <col min="6" max="6" width="14.375" style="7" customWidth="1"/>
    <col min="7" max="7" width="17.375" style="7" customWidth="1"/>
    <col min="8" max="8" width="14.375" style="7" customWidth="1"/>
    <col min="9" max="9" width="3.00390625" style="7" customWidth="1"/>
    <col min="10" max="10" width="19.25390625" style="7" customWidth="1"/>
    <col min="11" max="11" width="3.875" style="8" customWidth="1"/>
    <col min="12" max="12" width="23.125" style="7" customWidth="1"/>
    <col min="13" max="13" width="25.25390625" style="7" customWidth="1"/>
    <col min="14" max="14" width="18.125" style="9" hidden="1" customWidth="1"/>
    <col min="15" max="15" width="19.00390625" style="10" hidden="1" customWidth="1"/>
    <col min="16" max="16" width="18.75390625" style="11" hidden="1" customWidth="1"/>
    <col min="17" max="17" width="17.125" style="9" hidden="1" customWidth="1"/>
    <col min="18" max="18" width="16.75390625" style="10" hidden="1" customWidth="1"/>
    <col min="19" max="19" width="15.00390625" style="11" hidden="1" customWidth="1"/>
    <col min="20" max="20" width="13.75390625" style="9" hidden="1" customWidth="1"/>
    <col min="21" max="21" width="19.00390625" style="10" hidden="1" customWidth="1"/>
    <col min="22" max="22" width="20.375" style="4" hidden="1" customWidth="1"/>
    <col min="23" max="23" width="14.625" style="5" hidden="1" customWidth="1"/>
    <col min="24" max="24" width="10.625" style="5" bestFit="1" customWidth="1"/>
    <col min="25" max="16384" width="10.375" style="5" customWidth="1"/>
  </cols>
  <sheetData>
    <row r="1" spans="1:25" s="955" customFormat="1" ht="20.25" customHeight="1">
      <c r="A1" s="947"/>
      <c r="B1" s="948"/>
      <c r="C1" s="949"/>
      <c r="D1" s="1028" t="s">
        <v>0</v>
      </c>
      <c r="E1" s="1028"/>
      <c r="F1" s="1028"/>
      <c r="G1" s="1028"/>
      <c r="H1" s="1028"/>
      <c r="I1" s="1028"/>
      <c r="J1" s="1028"/>
      <c r="K1" s="1028"/>
      <c r="L1" s="1028"/>
      <c r="M1" s="1028"/>
      <c r="N1" s="1028"/>
      <c r="O1" s="1028"/>
      <c r="P1" s="1028"/>
      <c r="Q1" s="1028"/>
      <c r="R1" s="950"/>
      <c r="S1" s="951"/>
      <c r="T1" s="952"/>
      <c r="U1" s="953"/>
      <c r="V1" s="951"/>
      <c r="W1" s="952"/>
      <c r="X1" s="953"/>
      <c r="Y1" s="954"/>
    </row>
    <row r="2" spans="1:25" s="955" customFormat="1" ht="18" customHeight="1">
      <c r="A2" s="947"/>
      <c r="B2" s="948"/>
      <c r="C2" s="1028" t="s">
        <v>1</v>
      </c>
      <c r="D2" s="1028"/>
      <c r="E2" s="1028"/>
      <c r="F2" s="1028"/>
      <c r="G2" s="1028"/>
      <c r="H2" s="1028"/>
      <c r="I2" s="1028"/>
      <c r="J2" s="1028"/>
      <c r="K2" s="1028"/>
      <c r="L2" s="1028"/>
      <c r="M2" s="1028"/>
      <c r="N2" s="1028"/>
      <c r="O2" s="1028"/>
      <c r="P2" s="1028"/>
      <c r="Q2" s="1028"/>
      <c r="R2" s="1028"/>
      <c r="S2" s="951"/>
      <c r="T2" s="952"/>
      <c r="U2" s="953"/>
      <c r="V2" s="951"/>
      <c r="W2" s="952"/>
      <c r="X2" s="953"/>
      <c r="Y2" s="954"/>
    </row>
    <row r="3" spans="1:22" s="220" customFormat="1" ht="22.5" customHeight="1">
      <c r="A3" s="956"/>
      <c r="B3" s="957"/>
      <c r="C3" s="957"/>
      <c r="D3" s="1107" t="s">
        <v>421</v>
      </c>
      <c r="E3" s="1107"/>
      <c r="F3" s="1107"/>
      <c r="G3" s="1107"/>
      <c r="H3" s="1107"/>
      <c r="I3" s="964"/>
      <c r="J3" s="964"/>
      <c r="K3" s="964"/>
      <c r="L3" s="964"/>
      <c r="M3" s="964"/>
      <c r="N3" s="964"/>
      <c r="O3" s="964"/>
      <c r="P3" s="964"/>
      <c r="Q3" s="959"/>
      <c r="R3" s="960"/>
      <c r="S3" s="961"/>
      <c r="T3" s="959"/>
      <c r="U3" s="960"/>
      <c r="V3" s="962"/>
    </row>
    <row r="4" spans="1:22" s="220" customFormat="1" ht="18" customHeight="1">
      <c r="A4" s="956"/>
      <c r="B4" s="957"/>
      <c r="C4" s="957"/>
      <c r="D4" s="964" t="s">
        <v>219</v>
      </c>
      <c r="E4" s="964"/>
      <c r="F4" s="964"/>
      <c r="G4" s="964"/>
      <c r="H4" s="963"/>
      <c r="I4" s="1029"/>
      <c r="J4" s="1029"/>
      <c r="K4" s="963"/>
      <c r="L4" s="963"/>
      <c r="M4" s="963"/>
      <c r="N4" s="958"/>
      <c r="O4" s="958"/>
      <c r="P4" s="958"/>
      <c r="Q4" s="959"/>
      <c r="R4" s="960"/>
      <c r="S4" s="961"/>
      <c r="T4" s="959"/>
      <c r="U4" s="960"/>
      <c r="V4" s="962"/>
    </row>
    <row r="5" spans="1:22" s="220" customFormat="1" ht="21" customHeight="1" thickBot="1">
      <c r="A5" s="956"/>
      <c r="B5" s="957"/>
      <c r="C5" s="957"/>
      <c r="D5" s="964" t="s">
        <v>2</v>
      </c>
      <c r="E5" s="965"/>
      <c r="F5" s="965"/>
      <c r="G5" s="965"/>
      <c r="H5" s="965"/>
      <c r="I5" s="965"/>
      <c r="J5" s="965"/>
      <c r="K5" s="966"/>
      <c r="L5" s="965"/>
      <c r="M5" s="965"/>
      <c r="N5" s="967"/>
      <c r="O5" s="968"/>
      <c r="P5" s="969"/>
      <c r="Q5" s="967"/>
      <c r="R5" s="968"/>
      <c r="S5" s="969"/>
      <c r="T5" s="967"/>
      <c r="U5" s="968"/>
      <c r="V5" s="962"/>
    </row>
    <row r="6" spans="1:22" s="27" customFormat="1" ht="63.75" thickBot="1">
      <c r="A6" s="12"/>
      <c r="B6" s="13"/>
      <c r="C6" s="14"/>
      <c r="D6" s="15" t="s">
        <v>3</v>
      </c>
      <c r="E6" s="449" t="s">
        <v>221</v>
      </c>
      <c r="F6" s="449" t="s">
        <v>224</v>
      </c>
      <c r="G6" s="16" t="s">
        <v>220</v>
      </c>
      <c r="H6" s="16" t="s">
        <v>223</v>
      </c>
      <c r="I6" s="16"/>
      <c r="J6" s="590" t="s">
        <v>222</v>
      </c>
      <c r="K6" s="17"/>
      <c r="L6" s="584" t="s">
        <v>218</v>
      </c>
      <c r="M6" s="415" t="s">
        <v>199</v>
      </c>
      <c r="N6" s="18" t="s">
        <v>4</v>
      </c>
      <c r="O6" s="19" t="s">
        <v>5</v>
      </c>
      <c r="P6" s="20" t="s">
        <v>6</v>
      </c>
      <c r="Q6" s="21" t="s">
        <v>4</v>
      </c>
      <c r="R6" s="22" t="s">
        <v>7</v>
      </c>
      <c r="S6" s="23" t="s">
        <v>6</v>
      </c>
      <c r="T6" s="24" t="s">
        <v>4</v>
      </c>
      <c r="U6" s="25" t="s">
        <v>8</v>
      </c>
      <c r="V6" s="26" t="s">
        <v>9</v>
      </c>
    </row>
    <row r="7" spans="1:22" s="41" customFormat="1" ht="20.25" customHeight="1" thickBot="1">
      <c r="A7" s="28"/>
      <c r="B7" s="29"/>
      <c r="C7" s="30"/>
      <c r="D7" s="31" t="s">
        <v>10</v>
      </c>
      <c r="E7" s="32">
        <f>N7+Q7+T7</f>
        <v>0</v>
      </c>
      <c r="F7" s="34"/>
      <c r="G7" s="32">
        <f>O7+R7+U7</f>
        <v>12824.69</v>
      </c>
      <c r="H7" s="34"/>
      <c r="I7" s="32"/>
      <c r="J7" s="32">
        <f>P7+S7+V7</f>
        <v>0</v>
      </c>
      <c r="K7" s="33"/>
      <c r="L7" s="34"/>
      <c r="M7" s="34"/>
      <c r="N7" s="35"/>
      <c r="O7" s="36">
        <v>10262.9</v>
      </c>
      <c r="P7" s="37"/>
      <c r="Q7" s="38"/>
      <c r="R7" s="39">
        <v>940.7</v>
      </c>
      <c r="S7" s="37"/>
      <c r="T7" s="38"/>
      <c r="U7" s="36">
        <v>1621.09</v>
      </c>
      <c r="V7" s="40"/>
    </row>
    <row r="8" spans="1:22" ht="32.25" thickBot="1">
      <c r="A8" s="42"/>
      <c r="B8" s="43"/>
      <c r="C8" s="44"/>
      <c r="D8" s="45" t="s">
        <v>11</v>
      </c>
      <c r="E8" s="46"/>
      <c r="F8" s="48"/>
      <c r="G8" s="46"/>
      <c r="H8" s="48"/>
      <c r="I8" s="46"/>
      <c r="J8" s="46"/>
      <c r="K8" s="47"/>
      <c r="L8" s="48"/>
      <c r="M8" s="48"/>
      <c r="N8" s="49"/>
      <c r="O8" s="50">
        <f>O7/G7</f>
        <v>0.800245464022912</v>
      </c>
      <c r="P8" s="51"/>
      <c r="Q8" s="52"/>
      <c r="R8" s="50">
        <f>R7/G7</f>
        <v>0.07335070087464103</v>
      </c>
      <c r="S8" s="51"/>
      <c r="T8" s="52"/>
      <c r="U8" s="50">
        <f>U7/G7</f>
        <v>0.1264038351024469</v>
      </c>
      <c r="V8" s="53"/>
    </row>
    <row r="9" spans="1:22" ht="40.5" customHeight="1" thickBot="1">
      <c r="A9" s="42"/>
      <c r="B9" s="54"/>
      <c r="C9" s="55"/>
      <c r="D9" s="56" t="s">
        <v>12</v>
      </c>
      <c r="E9" s="32">
        <f>N7+Q7</f>
        <v>0</v>
      </c>
      <c r="F9" s="57"/>
      <c r="G9" s="32">
        <f>O7+R7</f>
        <v>11203.6</v>
      </c>
      <c r="H9" s="57"/>
      <c r="I9" s="32"/>
      <c r="J9" s="32">
        <f>P7+S7</f>
        <v>0</v>
      </c>
      <c r="K9" s="33"/>
      <c r="L9" s="57"/>
      <c r="M9" s="57"/>
      <c r="N9" s="58"/>
      <c r="O9" s="59">
        <f>O7/G9</f>
        <v>0.91603591702667</v>
      </c>
      <c r="P9" s="60"/>
      <c r="Q9" s="61"/>
      <c r="R9" s="59">
        <f>R7/G9</f>
        <v>0.08396408297333001</v>
      </c>
      <c r="S9" s="60"/>
      <c r="T9" s="61"/>
      <c r="U9" s="59"/>
      <c r="V9" s="62"/>
    </row>
    <row r="10" spans="1:22" ht="16.5" thickBot="1">
      <c r="A10" s="442"/>
      <c r="B10" s="443"/>
      <c r="C10" s="443"/>
      <c r="D10" s="443"/>
      <c r="E10" s="443"/>
      <c r="F10" s="443"/>
      <c r="G10" s="443"/>
      <c r="H10" s="443"/>
      <c r="I10" s="443"/>
      <c r="J10" s="443"/>
      <c r="K10" s="443"/>
      <c r="L10" s="443"/>
      <c r="M10" s="443"/>
      <c r="N10" s="443"/>
      <c r="O10" s="443"/>
      <c r="P10" s="443"/>
      <c r="Q10" s="443"/>
      <c r="R10" s="443"/>
      <c r="S10" s="443"/>
      <c r="T10" s="443"/>
      <c r="U10" s="443"/>
      <c r="V10" s="444"/>
    </row>
    <row r="11" spans="1:22" ht="47.25" customHeight="1" thickBot="1">
      <c r="A11" s="63">
        <v>1</v>
      </c>
      <c r="B11" s="64"/>
      <c r="C11" s="65"/>
      <c r="D11" s="66" t="s">
        <v>13</v>
      </c>
      <c r="E11" s="67">
        <f>E12+E17+E13+E14+E15+E18+E20</f>
        <v>1139265.24</v>
      </c>
      <c r="F11" s="67">
        <f>SUM(F12:F20)</f>
        <v>389790.08</v>
      </c>
      <c r="G11" s="67">
        <f>G12+G17+G13+G14+G15+G18+G20</f>
        <v>3734614.4849999994</v>
      </c>
      <c r="H11" s="67"/>
      <c r="I11" s="67"/>
      <c r="J11" s="67">
        <f>J12+J13+J14+J15+J17+J18</f>
        <v>8868302.525</v>
      </c>
      <c r="K11" s="68"/>
      <c r="L11" s="67">
        <f>L12+L13+L14+L15+L17+L18</f>
        <v>8825512.25578</v>
      </c>
      <c r="M11" s="70"/>
      <c r="N11" s="69"/>
      <c r="O11" s="70">
        <f>SUM(O12:O20)</f>
        <v>561389.7495517103</v>
      </c>
      <c r="P11" s="71"/>
      <c r="Q11" s="72"/>
      <c r="R11" s="70">
        <f>SUM(R12:R20)</f>
        <v>177068.13265562602</v>
      </c>
      <c r="S11" s="71"/>
      <c r="T11" s="72"/>
      <c r="U11" s="70">
        <f>SUM(U12:U20)</f>
        <v>41334.48279266362</v>
      </c>
      <c r="V11" s="370"/>
    </row>
    <row r="12" spans="1:22" s="82" customFormat="1" ht="54" customHeight="1" thickBot="1">
      <c r="A12" s="73"/>
      <c r="B12" s="74">
        <v>1</v>
      </c>
      <c r="C12" s="75"/>
      <c r="D12" s="665" t="s">
        <v>280</v>
      </c>
      <c r="E12" s="458"/>
      <c r="F12" s="459"/>
      <c r="G12" s="458"/>
      <c r="H12" s="459"/>
      <c r="I12" s="458"/>
      <c r="J12" s="874">
        <v>3883001</v>
      </c>
      <c r="K12" s="875"/>
      <c r="L12" s="874">
        <v>3883001</v>
      </c>
      <c r="M12" s="459"/>
      <c r="N12" s="76"/>
      <c r="O12" s="77">
        <v>230000</v>
      </c>
      <c r="P12" s="78"/>
      <c r="Q12" s="79"/>
      <c r="R12" s="80">
        <v>120000</v>
      </c>
      <c r="S12" s="81"/>
      <c r="T12" s="79"/>
      <c r="U12" s="80">
        <v>5000</v>
      </c>
      <c r="V12" s="369"/>
    </row>
    <row r="13" spans="1:22" ht="36.75" customHeight="1" thickBot="1">
      <c r="A13" s="90"/>
      <c r="B13" s="91">
        <v>3</v>
      </c>
      <c r="C13" s="92"/>
      <c r="D13" s="93" t="s">
        <v>14</v>
      </c>
      <c r="E13" s="450">
        <f>E37</f>
        <v>538800</v>
      </c>
      <c r="F13" s="455">
        <f>F37</f>
        <v>180350</v>
      </c>
      <c r="G13" s="450">
        <f>G37</f>
        <v>1917080.775</v>
      </c>
      <c r="H13" s="455"/>
      <c r="I13" s="450"/>
      <c r="J13" s="450">
        <f>J37</f>
        <v>2455880.775</v>
      </c>
      <c r="K13" s="460"/>
      <c r="L13" s="456">
        <f>L37</f>
        <v>2491391.4957799995</v>
      </c>
      <c r="M13" s="456"/>
      <c r="N13" s="414"/>
      <c r="O13" s="385">
        <f>O37</f>
        <v>177125.85473829324</v>
      </c>
      <c r="P13" s="389">
        <f>O13/O7</f>
        <v>17.25885029945661</v>
      </c>
      <c r="Q13" s="97"/>
      <c r="R13" s="385">
        <f>R37</f>
        <v>15669.409469043143</v>
      </c>
      <c r="S13" s="389">
        <f>R13/R7</f>
        <v>16.657180258364136</v>
      </c>
      <c r="T13" s="98"/>
      <c r="U13" s="385">
        <f>U37</f>
        <v>20763.710792663624</v>
      </c>
      <c r="V13" s="396">
        <f>V37</f>
        <v>12.808487371252443</v>
      </c>
    </row>
    <row r="14" spans="1:22" s="105" customFormat="1" ht="21.75" customHeight="1" thickBot="1">
      <c r="A14" s="83"/>
      <c r="B14" s="84">
        <v>4</v>
      </c>
      <c r="C14" s="99"/>
      <c r="D14" s="100" t="s">
        <v>15</v>
      </c>
      <c r="E14" s="450">
        <f>K14*12</f>
        <v>0</v>
      </c>
      <c r="F14" s="456">
        <f>F87</f>
        <v>9285</v>
      </c>
      <c r="G14" s="450">
        <f>H14*9</f>
        <v>0</v>
      </c>
      <c r="H14" s="456"/>
      <c r="I14" s="450"/>
      <c r="J14" s="450">
        <f>J87</f>
        <v>111421.8</v>
      </c>
      <c r="K14" s="450"/>
      <c r="L14" s="461">
        <f>L87</f>
        <v>110173.92</v>
      </c>
      <c r="M14" s="461"/>
      <c r="N14" s="102" t="s">
        <v>16</v>
      </c>
      <c r="O14" s="386">
        <v>4665.99</v>
      </c>
      <c r="P14" s="390">
        <f>O14/O7</f>
        <v>0.45464634752360444</v>
      </c>
      <c r="Q14" s="103" t="s">
        <v>16</v>
      </c>
      <c r="R14" s="393">
        <v>4619.21</v>
      </c>
      <c r="S14" s="391">
        <f>R14/R7</f>
        <v>4.910396513234825</v>
      </c>
      <c r="T14" s="104"/>
      <c r="U14" s="395"/>
      <c r="V14" s="389"/>
    </row>
    <row r="15" spans="1:22" s="105" customFormat="1" ht="19.5" thickBot="1">
      <c r="A15" s="83"/>
      <c r="B15" s="84">
        <v>5</v>
      </c>
      <c r="C15" s="99"/>
      <c r="D15" s="86" t="s">
        <v>17</v>
      </c>
      <c r="E15" s="462">
        <f>E89</f>
        <v>64632</v>
      </c>
      <c r="F15" s="462">
        <f>F89</f>
        <v>21544</v>
      </c>
      <c r="G15" s="462">
        <f>G89</f>
        <v>205533.99</v>
      </c>
      <c r="H15" s="462"/>
      <c r="I15" s="462"/>
      <c r="J15" s="456">
        <f>J89</f>
        <v>270165.99</v>
      </c>
      <c r="K15" s="464"/>
      <c r="L15" s="456">
        <f>L89</f>
        <v>258533.27999999997</v>
      </c>
      <c r="M15" s="462"/>
      <c r="N15" s="106">
        <v>1</v>
      </c>
      <c r="O15" s="387">
        <f>O89</f>
        <v>22837.11</v>
      </c>
      <c r="P15" s="391">
        <f>P89</f>
        <v>2.2252102232312505</v>
      </c>
      <c r="Q15" s="88"/>
      <c r="R15" s="387">
        <v>0</v>
      </c>
      <c r="S15" s="391"/>
      <c r="T15" s="88"/>
      <c r="U15" s="387">
        <v>0</v>
      </c>
      <c r="V15" s="389"/>
    </row>
    <row r="16" spans="1:22" s="379" customFormat="1" ht="19.5" thickBot="1">
      <c r="A16" s="371"/>
      <c r="B16" s="372"/>
      <c r="C16" s="373"/>
      <c r="D16" s="374"/>
      <c r="E16" s="457"/>
      <c r="F16" s="457"/>
      <c r="G16" s="457"/>
      <c r="H16" s="457"/>
      <c r="I16" s="457"/>
      <c r="J16" s="457"/>
      <c r="K16" s="463"/>
      <c r="L16" s="457"/>
      <c r="M16" s="457"/>
      <c r="N16" s="376"/>
      <c r="O16" s="384" t="s">
        <v>86</v>
      </c>
      <c r="P16" s="392">
        <f>SUM(P13:P15)</f>
        <v>19.938706870211465</v>
      </c>
      <c r="Q16" s="377"/>
      <c r="R16" s="384" t="s">
        <v>86</v>
      </c>
      <c r="S16" s="392">
        <f>SUM(S13:S15)</f>
        <v>21.56757677159896</v>
      </c>
      <c r="T16" s="377"/>
      <c r="U16" s="384" t="s">
        <v>86</v>
      </c>
      <c r="V16" s="392">
        <f>SUM(V13:V15)</f>
        <v>12.808487371252443</v>
      </c>
    </row>
    <row r="17" spans="1:22" s="89" customFormat="1" ht="19.5" thickBot="1">
      <c r="A17" s="83"/>
      <c r="B17" s="84">
        <v>2</v>
      </c>
      <c r="C17" s="85"/>
      <c r="D17" s="412" t="s">
        <v>96</v>
      </c>
      <c r="E17" s="456">
        <f>F17*3</f>
        <v>76948.14</v>
      </c>
      <c r="F17" s="456">
        <f>2*G7</f>
        <v>25649.38</v>
      </c>
      <c r="G17" s="456">
        <f>H17*9</f>
        <v>230844.42</v>
      </c>
      <c r="H17" s="456">
        <f>2*G7</f>
        <v>25649.38</v>
      </c>
      <c r="I17" s="456"/>
      <c r="J17" s="456">
        <f>G17+E17</f>
        <v>307792.56</v>
      </c>
      <c r="K17" s="455"/>
      <c r="L17" s="456">
        <f>J17</f>
        <v>307792.56</v>
      </c>
      <c r="M17" s="456"/>
      <c r="N17" s="87"/>
      <c r="O17" s="387">
        <f>O7*P17</f>
        <v>20525.8</v>
      </c>
      <c r="P17" s="405">
        <v>2</v>
      </c>
      <c r="Q17" s="88"/>
      <c r="R17" s="387">
        <f>R7*S17</f>
        <v>1881.4</v>
      </c>
      <c r="S17" s="391">
        <v>2</v>
      </c>
      <c r="T17" s="88"/>
      <c r="U17" s="387">
        <f>V17*U7</f>
        <v>3242.18</v>
      </c>
      <c r="V17" s="389">
        <v>2</v>
      </c>
    </row>
    <row r="18" spans="1:22" ht="67.5" customHeight="1" thickBot="1">
      <c r="A18" s="63"/>
      <c r="B18" s="64">
        <v>6</v>
      </c>
      <c r="C18" s="107"/>
      <c r="D18" s="108" t="s">
        <v>99</v>
      </c>
      <c r="E18" s="456">
        <f>E92</f>
        <v>458885.1</v>
      </c>
      <c r="F18" s="456">
        <f>F92</f>
        <v>152961.7</v>
      </c>
      <c r="G18" s="456">
        <f>G92</f>
        <v>1381155.3</v>
      </c>
      <c r="H18" s="456"/>
      <c r="I18" s="456"/>
      <c r="J18" s="456">
        <f>J92</f>
        <v>1840040.4</v>
      </c>
      <c r="K18" s="464"/>
      <c r="L18" s="456">
        <f>L92</f>
        <v>1774620</v>
      </c>
      <c r="M18" s="456"/>
      <c r="N18" s="109"/>
      <c r="O18" s="388">
        <f>O92</f>
        <v>106234.99481341711</v>
      </c>
      <c r="P18" s="401" t="e">
        <f>#REF!</f>
        <v>#REF!</v>
      </c>
      <c r="Q18" s="96"/>
      <c r="R18" s="388">
        <f>R92</f>
        <v>34898.11318658289</v>
      </c>
      <c r="S18" s="394" t="e">
        <f>#REF!</f>
        <v>#REF!</v>
      </c>
      <c r="T18" s="96"/>
      <c r="U18" s="388">
        <f>U92</f>
        <v>12328.592</v>
      </c>
      <c r="V18" s="396" t="e">
        <f>#REF!</f>
        <v>#REF!</v>
      </c>
    </row>
    <row r="19" spans="1:22" s="383" customFormat="1" ht="23.25" customHeight="1" thickBot="1">
      <c r="A19" s="406"/>
      <c r="B19" s="407"/>
      <c r="C19" s="408"/>
      <c r="D19" s="409"/>
      <c r="E19" s="380"/>
      <c r="F19" s="380"/>
      <c r="G19" s="380"/>
      <c r="H19" s="380"/>
      <c r="I19" s="380"/>
      <c r="J19" s="380"/>
      <c r="K19" s="375"/>
      <c r="L19" s="413"/>
      <c r="M19" s="413"/>
      <c r="N19" s="410"/>
      <c r="O19" s="411" t="s">
        <v>85</v>
      </c>
      <c r="P19" s="378" t="e">
        <f>P16+P17+P18</f>
        <v>#REF!</v>
      </c>
      <c r="Q19" s="382"/>
      <c r="R19" s="381" t="s">
        <v>85</v>
      </c>
      <c r="S19" s="392" t="e">
        <f>S16+S17+S18</f>
        <v>#REF!</v>
      </c>
      <c r="T19" s="382"/>
      <c r="U19" s="381" t="s">
        <v>85</v>
      </c>
      <c r="V19" s="392" t="e">
        <f>V16+V17+V18</f>
        <v>#REF!</v>
      </c>
    </row>
    <row r="20" spans="1:22" s="105" customFormat="1" ht="32.25" thickBot="1">
      <c r="A20" s="113"/>
      <c r="B20" s="114">
        <v>7</v>
      </c>
      <c r="C20" s="115"/>
      <c r="D20" s="116" t="s">
        <v>18</v>
      </c>
      <c r="E20" s="544">
        <v>0</v>
      </c>
      <c r="F20" s="503">
        <v>0</v>
      </c>
      <c r="G20" s="544">
        <v>0</v>
      </c>
      <c r="H20" s="503">
        <v>0</v>
      </c>
      <c r="I20" s="544"/>
      <c r="J20" s="544">
        <v>0</v>
      </c>
      <c r="K20" s="545"/>
      <c r="L20" s="550">
        <v>0</v>
      </c>
      <c r="M20" s="550"/>
      <c r="N20" s="117" t="s">
        <v>19</v>
      </c>
      <c r="O20" s="117"/>
      <c r="P20" s="117"/>
      <c r="Q20" s="117"/>
      <c r="R20" s="117"/>
      <c r="S20" s="117"/>
      <c r="T20" s="117"/>
      <c r="U20" s="117"/>
      <c r="V20" s="118"/>
    </row>
    <row r="21" spans="1:22" s="105" customFormat="1" ht="16.5" thickBot="1">
      <c r="A21" s="119"/>
      <c r="B21" s="120"/>
      <c r="C21" s="99"/>
      <c r="D21" s="86"/>
      <c r="E21" s="111"/>
      <c r="F21" s="33"/>
      <c r="G21" s="111"/>
      <c r="H21" s="33"/>
      <c r="I21" s="111"/>
      <c r="J21" s="111"/>
      <c r="K21" s="68"/>
      <c r="L21" s="95"/>
      <c r="M21" s="95"/>
      <c r="N21" s="95"/>
      <c r="O21" s="95"/>
      <c r="P21" s="121"/>
      <c r="Q21" s="95"/>
      <c r="R21" s="95"/>
      <c r="S21" s="95"/>
      <c r="T21" s="95"/>
      <c r="U21" s="95"/>
      <c r="V21" s="122"/>
    </row>
    <row r="22" spans="1:22" ht="16.5" thickBot="1">
      <c r="A22" s="63">
        <v>2</v>
      </c>
      <c r="B22" s="123"/>
      <c r="C22" s="124"/>
      <c r="D22" s="66" t="s">
        <v>20</v>
      </c>
      <c r="E22" s="67">
        <f>SUM(E23:E33)</f>
        <v>9150</v>
      </c>
      <c r="F22" s="67">
        <f>SUM(F23:F33)</f>
        <v>3050</v>
      </c>
      <c r="G22" s="67">
        <f>SUM(G23:G33)</f>
        <v>27450</v>
      </c>
      <c r="H22" s="67">
        <f>SUM(H23:H33)</f>
        <v>3050</v>
      </c>
      <c r="I22" s="67"/>
      <c r="J22" s="67">
        <f>E22+G22</f>
        <v>36600</v>
      </c>
      <c r="K22" s="111"/>
      <c r="L22" s="67">
        <f>SUM(L23:L33)</f>
        <v>36600</v>
      </c>
      <c r="M22" s="67"/>
      <c r="N22" s="125"/>
      <c r="O22" s="126"/>
      <c r="P22" s="127"/>
      <c r="Q22" s="128"/>
      <c r="R22" s="129"/>
      <c r="S22" s="130"/>
      <c r="T22" s="128"/>
      <c r="U22" s="129"/>
      <c r="V22" s="131"/>
    </row>
    <row r="23" spans="1:22" s="143" customFormat="1" ht="16.5" thickBot="1">
      <c r="A23" s="132"/>
      <c r="B23" s="133">
        <v>1</v>
      </c>
      <c r="C23" s="134"/>
      <c r="D23" s="135" t="s">
        <v>21</v>
      </c>
      <c r="E23" s="465"/>
      <c r="F23" s="466"/>
      <c r="G23" s="465"/>
      <c r="H23" s="466"/>
      <c r="I23" s="465"/>
      <c r="J23" s="465"/>
      <c r="K23" s="465"/>
      <c r="L23" s="451"/>
      <c r="M23" s="466"/>
      <c r="N23" s="136"/>
      <c r="O23" s="137"/>
      <c r="P23" s="138"/>
      <c r="Q23" s="139"/>
      <c r="R23" s="140"/>
      <c r="S23" s="141"/>
      <c r="T23" s="139"/>
      <c r="U23" s="140"/>
      <c r="V23" s="142"/>
    </row>
    <row r="24" spans="1:22" s="143" customFormat="1" ht="16.5" thickBot="1">
      <c r="A24" s="144" t="s">
        <v>22</v>
      </c>
      <c r="B24" s="145"/>
      <c r="C24" s="146"/>
      <c r="D24" s="147" t="s">
        <v>23</v>
      </c>
      <c r="E24" s="467">
        <f>F24*3</f>
        <v>1500</v>
      </c>
      <c r="F24" s="468">
        <v>500</v>
      </c>
      <c r="G24" s="467">
        <f>H24*9</f>
        <v>4500</v>
      </c>
      <c r="H24" s="468">
        <v>500</v>
      </c>
      <c r="I24" s="467"/>
      <c r="J24" s="456">
        <f>E24+G24</f>
        <v>6000</v>
      </c>
      <c r="K24" s="467"/>
      <c r="L24" s="468">
        <v>6000</v>
      </c>
      <c r="M24" s="468"/>
      <c r="N24" s="148"/>
      <c r="O24" s="149"/>
      <c r="P24" s="150"/>
      <c r="Q24" s="151"/>
      <c r="R24" s="152"/>
      <c r="S24" s="153"/>
      <c r="T24" s="151"/>
      <c r="U24" s="152"/>
      <c r="V24" s="154"/>
    </row>
    <row r="25" spans="1:22" s="143" customFormat="1" ht="16.5" thickBot="1">
      <c r="A25" s="144"/>
      <c r="B25" s="145"/>
      <c r="C25" s="146"/>
      <c r="D25" s="147" t="s">
        <v>24</v>
      </c>
      <c r="E25" s="467">
        <f>F25*3</f>
        <v>1650</v>
      </c>
      <c r="F25" s="468">
        <v>550</v>
      </c>
      <c r="G25" s="467">
        <f>H25*9</f>
        <v>4950</v>
      </c>
      <c r="H25" s="468">
        <v>550</v>
      </c>
      <c r="I25" s="467"/>
      <c r="J25" s="456">
        <f>E25+G25</f>
        <v>6600</v>
      </c>
      <c r="K25" s="467"/>
      <c r="L25" s="468">
        <v>6600</v>
      </c>
      <c r="M25" s="468"/>
      <c r="N25" s="148"/>
      <c r="O25" s="149"/>
      <c r="P25" s="150"/>
      <c r="Q25" s="151"/>
      <c r="R25" s="152"/>
      <c r="S25" s="153"/>
      <c r="T25" s="151"/>
      <c r="U25" s="152"/>
      <c r="V25" s="154"/>
    </row>
    <row r="26" spans="1:22" s="143" customFormat="1" ht="16.5" thickBot="1">
      <c r="A26" s="144"/>
      <c r="B26" s="145"/>
      <c r="C26" s="146"/>
      <c r="D26" s="147" t="s">
        <v>25</v>
      </c>
      <c r="E26" s="467">
        <f>F26*3</f>
        <v>6000</v>
      </c>
      <c r="F26" s="468">
        <v>2000</v>
      </c>
      <c r="G26" s="467">
        <f>H26*9</f>
        <v>18000</v>
      </c>
      <c r="H26" s="468">
        <v>2000</v>
      </c>
      <c r="I26" s="467"/>
      <c r="J26" s="456">
        <f>E26+G26</f>
        <v>24000</v>
      </c>
      <c r="K26" s="467"/>
      <c r="L26" s="468">
        <v>24000</v>
      </c>
      <c r="M26" s="468"/>
      <c r="N26" s="148"/>
      <c r="O26" s="149"/>
      <c r="P26" s="150"/>
      <c r="Q26" s="151"/>
      <c r="R26" s="152"/>
      <c r="S26" s="153"/>
      <c r="T26" s="151"/>
      <c r="U26" s="152"/>
      <c r="V26" s="154"/>
    </row>
    <row r="27" spans="1:22" s="143" customFormat="1" ht="15.75">
      <c r="A27" s="144"/>
      <c r="B27" s="145"/>
      <c r="C27" s="146"/>
      <c r="D27" s="147" t="s">
        <v>26</v>
      </c>
      <c r="E27" s="469"/>
      <c r="F27" s="468"/>
      <c r="G27" s="469"/>
      <c r="H27" s="468"/>
      <c r="I27" s="469"/>
      <c r="J27" s="469"/>
      <c r="K27" s="469"/>
      <c r="L27" s="468"/>
      <c r="M27" s="468"/>
      <c r="N27" s="148"/>
      <c r="O27" s="149"/>
      <c r="P27" s="150"/>
      <c r="Q27" s="151"/>
      <c r="R27" s="152"/>
      <c r="S27" s="153"/>
      <c r="T27" s="151"/>
      <c r="U27" s="152"/>
      <c r="V27" s="154"/>
    </row>
    <row r="28" spans="1:22" s="143" customFormat="1" ht="15.75">
      <c r="A28" s="144"/>
      <c r="B28" s="145"/>
      <c r="C28" s="146"/>
      <c r="D28" s="147" t="s">
        <v>27</v>
      </c>
      <c r="E28" s="469"/>
      <c r="F28" s="468"/>
      <c r="G28" s="469"/>
      <c r="H28" s="468"/>
      <c r="I28" s="469"/>
      <c r="J28" s="469"/>
      <c r="K28" s="469"/>
      <c r="L28" s="468"/>
      <c r="M28" s="468"/>
      <c r="N28" s="148"/>
      <c r="O28" s="149"/>
      <c r="P28" s="150"/>
      <c r="Q28" s="151"/>
      <c r="R28" s="152"/>
      <c r="S28" s="153"/>
      <c r="T28" s="151"/>
      <c r="U28" s="152"/>
      <c r="V28" s="154"/>
    </row>
    <row r="29" spans="1:22" s="143" customFormat="1" ht="15.75">
      <c r="A29" s="144"/>
      <c r="B29" s="145">
        <v>2</v>
      </c>
      <c r="C29" s="146"/>
      <c r="D29" s="155" t="s">
        <v>28</v>
      </c>
      <c r="E29" s="470"/>
      <c r="F29" s="468"/>
      <c r="G29" s="470"/>
      <c r="H29" s="468"/>
      <c r="I29" s="470"/>
      <c r="J29" s="470"/>
      <c r="K29" s="470"/>
      <c r="L29" s="468"/>
      <c r="M29" s="468"/>
      <c r="N29" s="156"/>
      <c r="O29" s="157"/>
      <c r="P29" s="158"/>
      <c r="Q29" s="159"/>
      <c r="R29" s="160"/>
      <c r="S29" s="161"/>
      <c r="T29" s="159"/>
      <c r="U29" s="160"/>
      <c r="V29" s="154"/>
    </row>
    <row r="30" spans="1:22" s="143" customFormat="1" ht="15.75">
      <c r="A30" s="144"/>
      <c r="B30" s="145"/>
      <c r="C30" s="146"/>
      <c r="D30" s="147" t="s">
        <v>29</v>
      </c>
      <c r="E30" s="469"/>
      <c r="F30" s="468"/>
      <c r="G30" s="469"/>
      <c r="H30" s="468"/>
      <c r="I30" s="469"/>
      <c r="J30" s="469"/>
      <c r="K30" s="469"/>
      <c r="L30" s="468"/>
      <c r="M30" s="468"/>
      <c r="N30" s="148"/>
      <c r="O30" s="149"/>
      <c r="P30" s="150"/>
      <c r="Q30" s="151"/>
      <c r="R30" s="152"/>
      <c r="S30" s="153"/>
      <c r="T30" s="151"/>
      <c r="U30" s="152"/>
      <c r="V30" s="154"/>
    </row>
    <row r="31" spans="1:22" s="171" customFormat="1" ht="15.75">
      <c r="A31" s="162"/>
      <c r="B31" s="163"/>
      <c r="C31" s="164"/>
      <c r="D31" s="147" t="s">
        <v>30</v>
      </c>
      <c r="E31" s="467"/>
      <c r="F31" s="468"/>
      <c r="G31" s="467"/>
      <c r="H31" s="468"/>
      <c r="I31" s="467"/>
      <c r="J31" s="467"/>
      <c r="K31" s="467"/>
      <c r="L31" s="468"/>
      <c r="M31" s="468"/>
      <c r="N31" s="165"/>
      <c r="O31" s="166"/>
      <c r="P31" s="167"/>
      <c r="Q31" s="168"/>
      <c r="R31" s="163"/>
      <c r="S31" s="169"/>
      <c r="T31" s="168"/>
      <c r="U31" s="163"/>
      <c r="V31" s="170"/>
    </row>
    <row r="32" spans="1:22" s="143" customFormat="1" ht="54" customHeight="1">
      <c r="A32" s="144"/>
      <c r="B32" s="145"/>
      <c r="C32" s="146"/>
      <c r="D32" s="172" t="s">
        <v>31</v>
      </c>
      <c r="E32" s="471"/>
      <c r="F32" s="472"/>
      <c r="G32" s="471"/>
      <c r="H32" s="472"/>
      <c r="I32" s="471"/>
      <c r="J32" s="471"/>
      <c r="K32" s="471"/>
      <c r="L32" s="472"/>
      <c r="M32" s="472"/>
      <c r="N32" s="1104"/>
      <c r="O32" s="1104"/>
      <c r="P32" s="1104"/>
      <c r="Q32" s="1104"/>
      <c r="R32" s="1104"/>
      <c r="S32" s="1104"/>
      <c r="T32" s="1104"/>
      <c r="U32" s="1104"/>
      <c r="V32" s="1105"/>
    </row>
    <row r="33" spans="1:22" s="143" customFormat="1" ht="16.5" thickBot="1">
      <c r="A33" s="173"/>
      <c r="B33" s="174"/>
      <c r="C33" s="175"/>
      <c r="D33" s="176" t="s">
        <v>32</v>
      </c>
      <c r="E33" s="473"/>
      <c r="F33" s="452"/>
      <c r="G33" s="473"/>
      <c r="H33" s="452"/>
      <c r="I33" s="473"/>
      <c r="J33" s="473"/>
      <c r="K33" s="473"/>
      <c r="L33" s="452"/>
      <c r="M33" s="452"/>
      <c r="N33" s="177"/>
      <c r="O33" s="178"/>
      <c r="P33" s="179"/>
      <c r="Q33" s="180"/>
      <c r="R33" s="181"/>
      <c r="S33" s="182"/>
      <c r="T33" s="180"/>
      <c r="U33" s="181"/>
      <c r="V33" s="183"/>
    </row>
    <row r="34" spans="1:22" s="105" customFormat="1" ht="15.75">
      <c r="A34" s="184"/>
      <c r="B34" s="185"/>
      <c r="C34" s="185"/>
      <c r="D34" s="186"/>
      <c r="E34" s="187"/>
      <c r="F34" s="188"/>
      <c r="G34" s="187"/>
      <c r="H34" s="188"/>
      <c r="I34" s="187"/>
      <c r="J34" s="187"/>
      <c r="K34" s="187"/>
      <c r="L34" s="188"/>
      <c r="M34" s="188"/>
      <c r="N34" s="189"/>
      <c r="O34" s="185"/>
      <c r="P34" s="190"/>
      <c r="Q34" s="189"/>
      <c r="R34" s="185"/>
      <c r="S34" s="190"/>
      <c r="T34" s="189"/>
      <c r="U34" s="185"/>
      <c r="V34" s="191"/>
    </row>
    <row r="35" spans="1:22" s="105" customFormat="1" ht="15.75">
      <c r="A35" s="192"/>
      <c r="B35" s="193"/>
      <c r="C35" s="193"/>
      <c r="D35" s="194"/>
      <c r="E35" s="195"/>
      <c r="F35" s="196"/>
      <c r="G35" s="195"/>
      <c r="H35" s="196"/>
      <c r="I35" s="195"/>
      <c r="J35" s="195"/>
      <c r="K35" s="195"/>
      <c r="L35" s="196"/>
      <c r="M35" s="196"/>
      <c r="N35" s="197"/>
      <c r="O35" s="193"/>
      <c r="P35" s="198"/>
      <c r="Q35" s="197"/>
      <c r="R35" s="193"/>
      <c r="S35" s="198"/>
      <c r="T35" s="197"/>
      <c r="U35" s="193"/>
      <c r="V35" s="199"/>
    </row>
    <row r="36" spans="1:22" s="105" customFormat="1" ht="42.75" customHeight="1" thickBot="1">
      <c r="A36" s="200"/>
      <c r="B36" s="201"/>
      <c r="C36" s="201"/>
      <c r="D36" s="202" t="s">
        <v>33</v>
      </c>
      <c r="E36" s="203"/>
      <c r="F36" s="204"/>
      <c r="G36" s="203"/>
      <c r="H36" s="204"/>
      <c r="I36" s="203"/>
      <c r="J36" s="203"/>
      <c r="K36" s="203"/>
      <c r="L36" s="204"/>
      <c r="M36" s="204"/>
      <c r="N36" s="205"/>
      <c r="O36" s="206"/>
      <c r="P36" s="207"/>
      <c r="Q36" s="208"/>
      <c r="R36" s="209"/>
      <c r="S36" s="210"/>
      <c r="T36" s="211"/>
      <c r="U36" s="206"/>
      <c r="V36" s="212"/>
    </row>
    <row r="37" spans="1:22" s="220" customFormat="1" ht="41.25" thickBot="1">
      <c r="A37" s="474">
        <v>1</v>
      </c>
      <c r="B37" s="475">
        <v>3</v>
      </c>
      <c r="C37" s="476"/>
      <c r="D37" s="546" t="s">
        <v>34</v>
      </c>
      <c r="E37" s="547">
        <f>SUM(E38,E54,E76,E82)</f>
        <v>538800</v>
      </c>
      <c r="F37" s="547">
        <f>SUM(F38,F54,F76,F82)</f>
        <v>180350</v>
      </c>
      <c r="G37" s="547">
        <f>SUM(G38,G54,G76,G82)</f>
        <v>1917080.775</v>
      </c>
      <c r="H37" s="547">
        <f>SUM(H38,H54,H76,H82)</f>
        <v>213808.975</v>
      </c>
      <c r="I37" s="547"/>
      <c r="J37" s="547">
        <f aca="true" t="shared" si="0" ref="J37:J68">E37+G37</f>
        <v>2455880.775</v>
      </c>
      <c r="K37" s="548"/>
      <c r="L37" s="547">
        <f>SUM(L38,L54,L76,L82)</f>
        <v>2491391.4957799995</v>
      </c>
      <c r="M37" s="589">
        <f aca="true" t="shared" si="1" ref="M37:M68">L37-J37</f>
        <v>35510.720779999625</v>
      </c>
      <c r="N37" s="214"/>
      <c r="O37" s="213">
        <f>SUM(O38,O54,O76,O82)</f>
        <v>177125.85473829324</v>
      </c>
      <c r="P37" s="215">
        <f>O37/O7</f>
        <v>17.25885029945661</v>
      </c>
      <c r="Q37" s="216"/>
      <c r="R37" s="213">
        <f>SUM(R38,R54,R76,R82)</f>
        <v>15669.409469043143</v>
      </c>
      <c r="S37" s="217">
        <f>R37/R7</f>
        <v>16.657180258364136</v>
      </c>
      <c r="T37" s="218"/>
      <c r="U37" s="213">
        <f>SUM(U38,U54,U76,U82)</f>
        <v>20763.710792663624</v>
      </c>
      <c r="V37" s="219">
        <f>U37/U7</f>
        <v>12.808487371252443</v>
      </c>
    </row>
    <row r="38" spans="1:22" ht="21" customHeight="1" thickBot="1">
      <c r="A38" s="221"/>
      <c r="B38" s="222"/>
      <c r="C38" s="124">
        <v>1</v>
      </c>
      <c r="D38" s="500" t="s">
        <v>35</v>
      </c>
      <c r="E38" s="501">
        <f>E39+E40+E43+E44+E45+E48+E49+E51+E52+E53</f>
        <v>199050</v>
      </c>
      <c r="F38" s="501">
        <f>F39+F40+F43+F44+F45+F48+F49+F50+F51+F52+F53</f>
        <v>67100</v>
      </c>
      <c r="G38" s="501">
        <f>G39+G40+G43+G44+G45+G48+G49+G51+G52+G53</f>
        <v>769549.5</v>
      </c>
      <c r="H38" s="501">
        <f>H39+H40+H43+H44+H45+H48+H49+H50+H51+H52+H53</f>
        <v>86305.5</v>
      </c>
      <c r="I38" s="501"/>
      <c r="J38" s="502">
        <f t="shared" si="0"/>
        <v>968599.5</v>
      </c>
      <c r="K38" s="501"/>
      <c r="L38" s="501">
        <f>L39+L40+L43+L44+L45+L48+L49+L50+L51+L52+L53</f>
        <v>964336.95</v>
      </c>
      <c r="M38" s="502">
        <f t="shared" si="1"/>
        <v>-4262.550000000047</v>
      </c>
      <c r="N38" s="223"/>
      <c r="O38" s="94">
        <f>O39+O40+O43+O44+O45+O48+O49+O50+O51+O52+O53</f>
        <v>69261.21110000001</v>
      </c>
      <c r="P38" s="224"/>
      <c r="Q38" s="225"/>
      <c r="R38" s="94">
        <f>R39+R40+R43+R44+R45+R48+R49+R50+R51+R52+R53</f>
        <v>6169.6737</v>
      </c>
      <c r="S38" s="226"/>
      <c r="T38" s="225"/>
      <c r="U38" s="94">
        <f>U39+U40+U43+U44+U45+U48+U49+U50+U51+U52+U53</f>
        <v>10624.615200000002</v>
      </c>
      <c r="V38" s="227"/>
    </row>
    <row r="39" spans="1:22" ht="19.5" thickBot="1">
      <c r="A39" s="228"/>
      <c r="B39" s="133"/>
      <c r="C39" s="134"/>
      <c r="D39" s="229" t="s">
        <v>36</v>
      </c>
      <c r="E39" s="489">
        <f>F39*3</f>
        <v>6000</v>
      </c>
      <c r="F39" s="490">
        <v>2000</v>
      </c>
      <c r="G39" s="491">
        <f aca="true" t="shared" si="2" ref="G39:G53">H39*9</f>
        <v>18000</v>
      </c>
      <c r="H39" s="490">
        <v>2000</v>
      </c>
      <c r="I39" s="491"/>
      <c r="J39" s="492">
        <f t="shared" si="0"/>
        <v>24000</v>
      </c>
      <c r="K39" s="491"/>
      <c r="L39" s="490">
        <f>14731.39+6000+6000</f>
        <v>26731.39</v>
      </c>
      <c r="M39" s="577">
        <f t="shared" si="1"/>
        <v>2731.3899999999994</v>
      </c>
      <c r="N39" s="404">
        <v>0.8002</v>
      </c>
      <c r="O39" s="230">
        <f aca="true" t="shared" si="3" ref="O39:O47">H39*N39</f>
        <v>1600.4</v>
      </c>
      <c r="P39" s="231"/>
      <c r="Q39" s="232">
        <v>0.0734</v>
      </c>
      <c r="R39" s="230">
        <f aca="true" t="shared" si="4" ref="R39:R47">H39*Q39</f>
        <v>146.8</v>
      </c>
      <c r="S39" s="231"/>
      <c r="T39" s="232">
        <v>0.1264</v>
      </c>
      <c r="U39" s="230">
        <f aca="true" t="shared" si="5" ref="U39:U47">H39*T39</f>
        <v>252.8</v>
      </c>
      <c r="V39" s="233"/>
    </row>
    <row r="40" spans="1:22" ht="19.5" thickBot="1">
      <c r="A40" s="234"/>
      <c r="B40" s="145"/>
      <c r="C40" s="146"/>
      <c r="D40" s="235" t="s">
        <v>37</v>
      </c>
      <c r="E40" s="493">
        <f>E41+E42</f>
        <v>28500</v>
      </c>
      <c r="F40" s="486">
        <f>F41+F42</f>
        <v>9500</v>
      </c>
      <c r="G40" s="483">
        <f t="shared" si="2"/>
        <v>85500</v>
      </c>
      <c r="H40" s="486">
        <f>H41+H42</f>
        <v>9500</v>
      </c>
      <c r="I40" s="483"/>
      <c r="J40" s="485">
        <f t="shared" si="0"/>
        <v>114000</v>
      </c>
      <c r="K40" s="483"/>
      <c r="L40" s="486">
        <f>L41+L42</f>
        <v>107404.96</v>
      </c>
      <c r="M40" s="578">
        <f t="shared" si="1"/>
        <v>-6595.039999999994</v>
      </c>
      <c r="N40" s="424">
        <v>0.8002</v>
      </c>
      <c r="O40" s="236">
        <f t="shared" si="3"/>
        <v>7601.900000000001</v>
      </c>
      <c r="P40" s="237"/>
      <c r="Q40" s="238">
        <v>0.0734</v>
      </c>
      <c r="R40" s="236">
        <f t="shared" si="4"/>
        <v>697.3000000000001</v>
      </c>
      <c r="S40" s="237"/>
      <c r="T40" s="238">
        <v>0.1264</v>
      </c>
      <c r="U40" s="236">
        <f t="shared" si="5"/>
        <v>1200.8000000000002</v>
      </c>
      <c r="V40" s="239"/>
    </row>
    <row r="41" spans="1:22" s="244" customFormat="1" ht="19.5" thickBot="1">
      <c r="A41" s="240"/>
      <c r="B41" s="241"/>
      <c r="C41" s="242"/>
      <c r="D41" s="243" t="s">
        <v>38</v>
      </c>
      <c r="E41" s="494">
        <f>F41*3</f>
        <v>6000</v>
      </c>
      <c r="F41" s="487">
        <v>2000</v>
      </c>
      <c r="G41" s="483">
        <f t="shared" si="2"/>
        <v>18000</v>
      </c>
      <c r="H41" s="487">
        <v>2000</v>
      </c>
      <c r="I41" s="483"/>
      <c r="J41" s="485">
        <f t="shared" si="0"/>
        <v>24000</v>
      </c>
      <c r="K41" s="483"/>
      <c r="L41" s="484">
        <v>27370.44</v>
      </c>
      <c r="M41" s="578">
        <f t="shared" si="1"/>
        <v>3370.4399999999987</v>
      </c>
      <c r="N41" s="424">
        <v>0.8002</v>
      </c>
      <c r="O41" s="236">
        <f t="shared" si="3"/>
        <v>1600.4</v>
      </c>
      <c r="P41" s="237"/>
      <c r="Q41" s="238">
        <v>0.0734</v>
      </c>
      <c r="R41" s="236">
        <f t="shared" si="4"/>
        <v>146.8</v>
      </c>
      <c r="S41" s="237"/>
      <c r="T41" s="238">
        <v>0.1264</v>
      </c>
      <c r="U41" s="236">
        <f t="shared" si="5"/>
        <v>252.8</v>
      </c>
      <c r="V41" s="239"/>
    </row>
    <row r="42" spans="1:22" s="244" customFormat="1" ht="19.5" thickBot="1">
      <c r="A42" s="240"/>
      <c r="B42" s="241"/>
      <c r="C42" s="242"/>
      <c r="D42" s="243" t="s">
        <v>39</v>
      </c>
      <c r="E42" s="494">
        <f>F42*3</f>
        <v>22500</v>
      </c>
      <c r="F42" s="487">
        <v>7500</v>
      </c>
      <c r="G42" s="483">
        <f t="shared" si="2"/>
        <v>67500</v>
      </c>
      <c r="H42" s="487">
        <v>7500</v>
      </c>
      <c r="I42" s="483"/>
      <c r="J42" s="485">
        <f t="shared" si="0"/>
        <v>90000</v>
      </c>
      <c r="K42" s="483"/>
      <c r="L42" s="484">
        <v>80034.52</v>
      </c>
      <c r="M42" s="578">
        <f t="shared" si="1"/>
        <v>-9965.479999999996</v>
      </c>
      <c r="N42" s="424">
        <v>0.8002</v>
      </c>
      <c r="O42" s="236">
        <f t="shared" si="3"/>
        <v>6001.5</v>
      </c>
      <c r="P42" s="237"/>
      <c r="Q42" s="238">
        <v>0.0734</v>
      </c>
      <c r="R42" s="236">
        <f t="shared" si="4"/>
        <v>550.5</v>
      </c>
      <c r="S42" s="237"/>
      <c r="T42" s="238">
        <v>0.1264</v>
      </c>
      <c r="U42" s="236">
        <f t="shared" si="5"/>
        <v>948.0000000000001</v>
      </c>
      <c r="V42" s="239"/>
    </row>
    <row r="43" spans="1:22" ht="19.5" thickBot="1">
      <c r="A43" s="234"/>
      <c r="B43" s="145"/>
      <c r="C43" s="146"/>
      <c r="D43" s="235" t="s">
        <v>40</v>
      </c>
      <c r="E43" s="494">
        <f>F43*3</f>
        <v>1500</v>
      </c>
      <c r="F43" s="484">
        <v>500</v>
      </c>
      <c r="G43" s="483">
        <f t="shared" si="2"/>
        <v>4500</v>
      </c>
      <c r="H43" s="484">
        <v>500</v>
      </c>
      <c r="I43" s="483"/>
      <c r="J43" s="485">
        <f t="shared" si="0"/>
        <v>6000</v>
      </c>
      <c r="K43" s="483"/>
      <c r="L43" s="484">
        <v>5020.1</v>
      </c>
      <c r="M43" s="578">
        <f t="shared" si="1"/>
        <v>-979.8999999999996</v>
      </c>
      <c r="N43" s="424">
        <v>0.8002</v>
      </c>
      <c r="O43" s="236">
        <f t="shared" si="3"/>
        <v>400.1</v>
      </c>
      <c r="P43" s="237"/>
      <c r="Q43" s="238">
        <v>0.0734</v>
      </c>
      <c r="R43" s="236">
        <f t="shared" si="4"/>
        <v>36.7</v>
      </c>
      <c r="S43" s="237"/>
      <c r="T43" s="238">
        <v>0.1264</v>
      </c>
      <c r="U43" s="236">
        <f t="shared" si="5"/>
        <v>63.2</v>
      </c>
      <c r="V43" s="239"/>
    </row>
    <row r="44" spans="1:22" ht="32.25" thickBot="1">
      <c r="A44" s="234"/>
      <c r="B44" s="145"/>
      <c r="C44" s="146"/>
      <c r="D44" s="235" t="s">
        <v>41</v>
      </c>
      <c r="E44" s="494">
        <f>F44*3</f>
        <v>3000</v>
      </c>
      <c r="F44" s="484">
        <v>1000</v>
      </c>
      <c r="G44" s="483">
        <f t="shared" si="2"/>
        <v>6750</v>
      </c>
      <c r="H44" s="484">
        <v>750</v>
      </c>
      <c r="I44" s="483"/>
      <c r="J44" s="485">
        <f t="shared" si="0"/>
        <v>9750</v>
      </c>
      <c r="K44" s="483"/>
      <c r="L44" s="484">
        <f>500+2600+1400</f>
        <v>4500</v>
      </c>
      <c r="M44" s="578">
        <f t="shared" si="1"/>
        <v>-5250</v>
      </c>
      <c r="N44" s="424">
        <v>0.8002</v>
      </c>
      <c r="O44" s="236">
        <f t="shared" si="3"/>
        <v>600.15</v>
      </c>
      <c r="P44" s="237"/>
      <c r="Q44" s="238">
        <v>0.0734</v>
      </c>
      <c r="R44" s="236">
        <f t="shared" si="4"/>
        <v>55.050000000000004</v>
      </c>
      <c r="S44" s="237"/>
      <c r="T44" s="238">
        <v>0.1264</v>
      </c>
      <c r="U44" s="236">
        <f t="shared" si="5"/>
        <v>94.80000000000001</v>
      </c>
      <c r="V44" s="239"/>
    </row>
    <row r="45" spans="1:22" ht="19.5" thickBot="1">
      <c r="A45" s="234"/>
      <c r="B45" s="145"/>
      <c r="C45" s="146"/>
      <c r="D45" s="235" t="s">
        <v>95</v>
      </c>
      <c r="E45" s="495">
        <f>E46+E47</f>
        <v>148500</v>
      </c>
      <c r="F45" s="484">
        <f>F46+F47</f>
        <v>49500</v>
      </c>
      <c r="G45" s="483">
        <f t="shared" si="2"/>
        <v>620149.5</v>
      </c>
      <c r="H45" s="484">
        <f>H46+H47</f>
        <v>68905.5</v>
      </c>
      <c r="I45" s="483"/>
      <c r="J45" s="485">
        <f t="shared" si="0"/>
        <v>768649.5</v>
      </c>
      <c r="K45" s="483"/>
      <c r="L45" s="484">
        <f>L46+L47</f>
        <v>768649.5</v>
      </c>
      <c r="M45" s="578">
        <f t="shared" si="1"/>
        <v>0</v>
      </c>
      <c r="N45" s="424">
        <v>0.8002</v>
      </c>
      <c r="O45" s="236">
        <f t="shared" si="3"/>
        <v>55138.1811</v>
      </c>
      <c r="P45" s="237"/>
      <c r="Q45" s="238">
        <v>0.0734</v>
      </c>
      <c r="R45" s="236">
        <f t="shared" si="4"/>
        <v>5057.6637</v>
      </c>
      <c r="S45" s="237"/>
      <c r="T45" s="238">
        <v>0.1264</v>
      </c>
      <c r="U45" s="236">
        <f t="shared" si="5"/>
        <v>8709.655200000001</v>
      </c>
      <c r="V45" s="239"/>
    </row>
    <row r="46" spans="1:22" s="244" customFormat="1" ht="19.5" thickBot="1">
      <c r="A46" s="240"/>
      <c r="B46" s="241"/>
      <c r="C46" s="242"/>
      <c r="D46" s="243" t="s">
        <v>93</v>
      </c>
      <c r="E46" s="494">
        <f aca="true" t="shared" si="6" ref="E46:E53">F46*3</f>
        <v>112500</v>
      </c>
      <c r="F46" s="487">
        <v>37500</v>
      </c>
      <c r="G46" s="483">
        <f t="shared" si="2"/>
        <v>471649.5</v>
      </c>
      <c r="H46" s="487">
        <f>35000*1.15*1.302</f>
        <v>52405.5</v>
      </c>
      <c r="I46" s="483"/>
      <c r="J46" s="485">
        <f t="shared" si="0"/>
        <v>584149.5</v>
      </c>
      <c r="K46" s="483"/>
      <c r="L46" s="487">
        <f>362250*1.302+112500</f>
        <v>584149.5</v>
      </c>
      <c r="M46" s="578">
        <f t="shared" si="1"/>
        <v>0</v>
      </c>
      <c r="N46" s="424">
        <v>0.8002</v>
      </c>
      <c r="O46" s="236">
        <f t="shared" si="3"/>
        <v>41934.8811</v>
      </c>
      <c r="P46" s="237"/>
      <c r="Q46" s="238">
        <v>0.0734</v>
      </c>
      <c r="R46" s="236">
        <f t="shared" si="4"/>
        <v>3846.5637</v>
      </c>
      <c r="S46" s="237"/>
      <c r="T46" s="238">
        <v>0.1264</v>
      </c>
      <c r="U46" s="236">
        <f t="shared" si="5"/>
        <v>6624.055200000001</v>
      </c>
      <c r="V46" s="239"/>
    </row>
    <row r="47" spans="1:22" s="244" customFormat="1" ht="18.75">
      <c r="A47" s="240"/>
      <c r="B47" s="241"/>
      <c r="C47" s="242"/>
      <c r="D47" s="243" t="s">
        <v>94</v>
      </c>
      <c r="E47" s="494">
        <f t="shared" si="6"/>
        <v>36000</v>
      </c>
      <c r="F47" s="487">
        <v>12000</v>
      </c>
      <c r="G47" s="483">
        <f t="shared" si="2"/>
        <v>148500</v>
      </c>
      <c r="H47" s="487">
        <f>15000*1.1</f>
        <v>16500</v>
      </c>
      <c r="I47" s="483"/>
      <c r="J47" s="485">
        <f t="shared" si="0"/>
        <v>184500</v>
      </c>
      <c r="K47" s="483"/>
      <c r="L47" s="487">
        <v>184500</v>
      </c>
      <c r="M47" s="578">
        <f t="shared" si="1"/>
        <v>0</v>
      </c>
      <c r="N47" s="424">
        <v>0.8002</v>
      </c>
      <c r="O47" s="236">
        <f t="shared" si="3"/>
        <v>13203.300000000001</v>
      </c>
      <c r="P47" s="237"/>
      <c r="Q47" s="238">
        <v>0.0734</v>
      </c>
      <c r="R47" s="236">
        <f t="shared" si="4"/>
        <v>1211.1000000000001</v>
      </c>
      <c r="S47" s="237"/>
      <c r="T47" s="238">
        <v>0.1264</v>
      </c>
      <c r="U47" s="236">
        <f t="shared" si="5"/>
        <v>2085.6000000000004</v>
      </c>
      <c r="V47" s="239"/>
    </row>
    <row r="48" spans="1:22" s="250" customFormat="1" ht="19.5" thickBot="1">
      <c r="A48" s="245"/>
      <c r="B48" s="163"/>
      <c r="C48" s="164"/>
      <c r="D48" s="246" t="s">
        <v>43</v>
      </c>
      <c r="E48" s="494">
        <f t="shared" si="6"/>
        <v>6750</v>
      </c>
      <c r="F48" s="484">
        <v>2250</v>
      </c>
      <c r="G48" s="483">
        <f t="shared" si="2"/>
        <v>20250</v>
      </c>
      <c r="H48" s="484">
        <v>2250</v>
      </c>
      <c r="I48" s="483"/>
      <c r="J48" s="485">
        <f t="shared" si="0"/>
        <v>27000</v>
      </c>
      <c r="K48" s="488"/>
      <c r="L48" s="484">
        <v>23868</v>
      </c>
      <c r="M48" s="578">
        <f t="shared" si="1"/>
        <v>-3132</v>
      </c>
      <c r="N48" s="425">
        <v>1</v>
      </c>
      <c r="O48" s="248">
        <v>2000</v>
      </c>
      <c r="P48" s="169"/>
      <c r="Q48" s="247">
        <v>0</v>
      </c>
      <c r="R48" s="248">
        <v>0</v>
      </c>
      <c r="S48" s="169"/>
      <c r="T48" s="247">
        <v>0</v>
      </c>
      <c r="U48" s="248">
        <v>0</v>
      </c>
      <c r="V48" s="249"/>
    </row>
    <row r="49" spans="1:22" ht="32.25" thickBot="1">
      <c r="A49" s="234"/>
      <c r="B49" s="145"/>
      <c r="C49" s="146"/>
      <c r="D49" s="235" t="s">
        <v>44</v>
      </c>
      <c r="E49" s="494">
        <f t="shared" si="6"/>
        <v>3000</v>
      </c>
      <c r="F49" s="484">
        <v>1000</v>
      </c>
      <c r="G49" s="483">
        <f t="shared" si="2"/>
        <v>9000</v>
      </c>
      <c r="H49" s="484">
        <v>1000</v>
      </c>
      <c r="I49" s="483"/>
      <c r="J49" s="485">
        <f t="shared" si="0"/>
        <v>12000</v>
      </c>
      <c r="K49" s="483"/>
      <c r="L49" s="484">
        <f>6430+889</f>
        <v>7319</v>
      </c>
      <c r="M49" s="578">
        <f t="shared" si="1"/>
        <v>-4681</v>
      </c>
      <c r="N49" s="404">
        <v>0.8002</v>
      </c>
      <c r="O49" s="230">
        <f>H49*N49</f>
        <v>800.2</v>
      </c>
      <c r="P49" s="231"/>
      <c r="Q49" s="232">
        <v>0.0734</v>
      </c>
      <c r="R49" s="230">
        <f>H49*Q49</f>
        <v>73.4</v>
      </c>
      <c r="S49" s="231"/>
      <c r="T49" s="232">
        <v>0.1264</v>
      </c>
      <c r="U49" s="230">
        <f>H49*T49</f>
        <v>126.4</v>
      </c>
      <c r="V49" s="233"/>
    </row>
    <row r="50" spans="1:22" ht="32.25" thickBot="1">
      <c r="A50" s="234"/>
      <c r="B50" s="145"/>
      <c r="C50" s="146"/>
      <c r="D50" s="251" t="s">
        <v>45</v>
      </c>
      <c r="E50" s="494">
        <f t="shared" si="6"/>
        <v>2250</v>
      </c>
      <c r="F50" s="484">
        <v>750</v>
      </c>
      <c r="G50" s="483">
        <f t="shared" si="2"/>
        <v>7200</v>
      </c>
      <c r="H50" s="484">
        <v>800</v>
      </c>
      <c r="I50" s="483"/>
      <c r="J50" s="485">
        <f t="shared" si="0"/>
        <v>9450</v>
      </c>
      <c r="K50" s="483"/>
      <c r="L50" s="484">
        <f>1000+14544</f>
        <v>15544</v>
      </c>
      <c r="M50" s="578">
        <f t="shared" si="1"/>
        <v>6094</v>
      </c>
      <c r="N50" s="404">
        <v>0.8002</v>
      </c>
      <c r="O50" s="230">
        <f>H50*N50</f>
        <v>640.16</v>
      </c>
      <c r="P50" s="231"/>
      <c r="Q50" s="232">
        <v>0.0734</v>
      </c>
      <c r="R50" s="230">
        <f>H50*Q50</f>
        <v>58.720000000000006</v>
      </c>
      <c r="S50" s="231"/>
      <c r="T50" s="232">
        <v>0.1264</v>
      </c>
      <c r="U50" s="230">
        <f>H50*T50</f>
        <v>101.12</v>
      </c>
      <c r="V50" s="233"/>
    </row>
    <row r="51" spans="1:22" ht="19.5" thickBot="1">
      <c r="A51" s="234"/>
      <c r="B51" s="145"/>
      <c r="C51" s="146"/>
      <c r="D51" s="251" t="s">
        <v>46</v>
      </c>
      <c r="E51" s="494">
        <f t="shared" si="6"/>
        <v>1050</v>
      </c>
      <c r="F51" s="484">
        <v>350</v>
      </c>
      <c r="G51" s="483">
        <f t="shared" si="2"/>
        <v>3150</v>
      </c>
      <c r="H51" s="484">
        <v>350</v>
      </c>
      <c r="I51" s="483"/>
      <c r="J51" s="485">
        <f t="shared" si="0"/>
        <v>4200</v>
      </c>
      <c r="K51" s="483"/>
      <c r="L51" s="484">
        <v>4200</v>
      </c>
      <c r="M51" s="578">
        <f t="shared" si="1"/>
        <v>0</v>
      </c>
      <c r="N51" s="404">
        <v>0.8002</v>
      </c>
      <c r="O51" s="230">
        <f>H51*N51</f>
        <v>280.07</v>
      </c>
      <c r="P51" s="231"/>
      <c r="Q51" s="232">
        <v>0.0734</v>
      </c>
      <c r="R51" s="230">
        <f>H51*Q51</f>
        <v>25.69</v>
      </c>
      <c r="S51" s="231"/>
      <c r="T51" s="232">
        <v>0.1264</v>
      </c>
      <c r="U51" s="230">
        <f>H51*T51</f>
        <v>44.24</v>
      </c>
      <c r="V51" s="233"/>
    </row>
    <row r="52" spans="1:22" ht="21" customHeight="1" thickBot="1">
      <c r="A52" s="234"/>
      <c r="B52" s="145"/>
      <c r="C52" s="146"/>
      <c r="D52" s="235" t="s">
        <v>47</v>
      </c>
      <c r="E52" s="494">
        <f t="shared" si="6"/>
        <v>750</v>
      </c>
      <c r="F52" s="484">
        <v>250</v>
      </c>
      <c r="G52" s="483">
        <f t="shared" si="2"/>
        <v>2250</v>
      </c>
      <c r="H52" s="484">
        <v>250</v>
      </c>
      <c r="I52" s="483"/>
      <c r="J52" s="485">
        <f t="shared" si="0"/>
        <v>3000</v>
      </c>
      <c r="K52" s="483"/>
      <c r="L52" s="484">
        <f>800+300</f>
        <v>1100</v>
      </c>
      <c r="M52" s="578">
        <f t="shared" si="1"/>
        <v>-1900</v>
      </c>
      <c r="N52" s="404">
        <v>0.8002</v>
      </c>
      <c r="O52" s="230">
        <f>H52*N52</f>
        <v>200.05</v>
      </c>
      <c r="P52" s="231"/>
      <c r="Q52" s="232">
        <v>0.0734</v>
      </c>
      <c r="R52" s="230">
        <f>H52*Q52</f>
        <v>18.35</v>
      </c>
      <c r="S52" s="231"/>
      <c r="T52" s="232">
        <v>0.1264</v>
      </c>
      <c r="U52" s="230">
        <f>H52*T52</f>
        <v>31.6</v>
      </c>
      <c r="V52" s="233"/>
    </row>
    <row r="53" spans="1:22" ht="30" customHeight="1" thickBot="1">
      <c r="A53" s="234"/>
      <c r="B53" s="145"/>
      <c r="C53" s="146"/>
      <c r="D53" s="252" t="s">
        <v>48</v>
      </c>
      <c r="E53" s="496">
        <f t="shared" si="6"/>
        <v>0</v>
      </c>
      <c r="F53" s="497">
        <v>0</v>
      </c>
      <c r="G53" s="498">
        <f t="shared" si="2"/>
        <v>0</v>
      </c>
      <c r="H53" s="497">
        <v>0</v>
      </c>
      <c r="I53" s="498"/>
      <c r="J53" s="499">
        <f t="shared" si="0"/>
        <v>0</v>
      </c>
      <c r="K53" s="498"/>
      <c r="L53" s="497">
        <v>0</v>
      </c>
      <c r="M53" s="579">
        <f t="shared" si="1"/>
        <v>0</v>
      </c>
      <c r="N53" s="404">
        <v>0.8002</v>
      </c>
      <c r="O53" s="230">
        <f>H53*N53</f>
        <v>0</v>
      </c>
      <c r="P53" s="231"/>
      <c r="Q53" s="232">
        <v>0.0734</v>
      </c>
      <c r="R53" s="230">
        <f>H53*Q53</f>
        <v>0</v>
      </c>
      <c r="S53" s="231"/>
      <c r="T53" s="232">
        <v>0.1264</v>
      </c>
      <c r="U53" s="230">
        <f>H53*T53</f>
        <v>0</v>
      </c>
      <c r="V53" s="233"/>
    </row>
    <row r="54" spans="1:22" ht="32.25" thickBot="1">
      <c r="A54" s="234"/>
      <c r="B54" s="253"/>
      <c r="C54" s="146">
        <v>2</v>
      </c>
      <c r="D54" s="505" t="s">
        <v>49</v>
      </c>
      <c r="E54" s="506">
        <f>SUM(E55,E58,E60,E62,E63,E61,E64,E68)</f>
        <v>264075</v>
      </c>
      <c r="F54" s="506">
        <f>SUM(F55,F58,F60,F62,F63,F61,F64,F68)</f>
        <v>88025</v>
      </c>
      <c r="G54" s="506">
        <f>SUM(G55,G58,G60,G62,G63,G61,G64,G68)</f>
        <v>883551.1499999999</v>
      </c>
      <c r="H54" s="506">
        <f>SUM(H55,H58,H60,H62,H63,H61,H64,H68)</f>
        <v>98172.35</v>
      </c>
      <c r="I54" s="506"/>
      <c r="J54" s="507">
        <f t="shared" si="0"/>
        <v>1147626.15</v>
      </c>
      <c r="K54" s="506"/>
      <c r="L54" s="508">
        <f>SUM(L55,L58,L60,L62,L63,L61,L64,L68)</f>
        <v>1184123.0182599998</v>
      </c>
      <c r="M54" s="507">
        <f t="shared" si="1"/>
        <v>36496.8682599999</v>
      </c>
      <c r="N54" s="426"/>
      <c r="O54" s="94">
        <f>SUM(O55,O58,O60,O62,O63,O61,O64,O68)</f>
        <v>84307.00047552322</v>
      </c>
      <c r="P54" s="254"/>
      <c r="Q54" s="255"/>
      <c r="R54" s="94">
        <f>SUM(R55,R58,R60,R62,R63,R61,R64,R68)</f>
        <v>7338.908131813144</v>
      </c>
      <c r="S54" s="256"/>
      <c r="T54" s="255"/>
      <c r="U54" s="94">
        <f>SUM(U55,U58,U60,U62,U63,U61,U64,U68)</f>
        <v>6526.441392663621</v>
      </c>
      <c r="V54" s="131"/>
    </row>
    <row r="55" spans="1:22" ht="19.5" thickBot="1">
      <c r="A55" s="234"/>
      <c r="B55" s="145"/>
      <c r="C55" s="403"/>
      <c r="D55" s="509" t="s">
        <v>42</v>
      </c>
      <c r="E55" s="510">
        <f>E56+E57</f>
        <v>84900</v>
      </c>
      <c r="F55" s="490">
        <f>F56+F57</f>
        <v>28300</v>
      </c>
      <c r="G55" s="510">
        <f>G56+G57</f>
        <v>262776.14999999997</v>
      </c>
      <c r="H55" s="490">
        <f>H56+H57</f>
        <v>29197.35</v>
      </c>
      <c r="I55" s="510"/>
      <c r="J55" s="492">
        <f t="shared" si="0"/>
        <v>347676.14999999997</v>
      </c>
      <c r="K55" s="510"/>
      <c r="L55" s="490">
        <f>L56+L57</f>
        <v>347425.19826000003</v>
      </c>
      <c r="M55" s="577">
        <f t="shared" si="1"/>
        <v>-250.9517399999313</v>
      </c>
      <c r="N55" s="424"/>
      <c r="O55" s="236">
        <f>O57+O56</f>
        <v>27252.806489999995</v>
      </c>
      <c r="P55" s="257"/>
      <c r="Q55" s="258"/>
      <c r="R55" s="236">
        <f>R57+R56</f>
        <v>714.3618299999999</v>
      </c>
      <c r="S55" s="257"/>
      <c r="T55" s="258"/>
      <c r="U55" s="236">
        <f>U57+U56</f>
        <v>1230.18168</v>
      </c>
      <c r="V55" s="239"/>
    </row>
    <row r="56" spans="1:22" ht="18.75">
      <c r="A56" s="259"/>
      <c r="B56" s="152"/>
      <c r="C56" s="260">
        <v>1</v>
      </c>
      <c r="D56" s="511" t="s">
        <v>50</v>
      </c>
      <c r="E56" s="483">
        <f>F56*3</f>
        <v>28299</v>
      </c>
      <c r="F56" s="487">
        <v>9433</v>
      </c>
      <c r="G56" s="483">
        <f>H56*9</f>
        <v>87592.04999999999</v>
      </c>
      <c r="H56" s="487">
        <f>(1500*1.15*1.302*4)*13/12</f>
        <v>9732.449999999999</v>
      </c>
      <c r="I56" s="483"/>
      <c r="J56" s="485">
        <f t="shared" si="0"/>
        <v>115891.04999999999</v>
      </c>
      <c r="K56" s="487"/>
      <c r="L56" s="487">
        <f>88096.71*1.302</f>
        <v>114701.91642000001</v>
      </c>
      <c r="M56" s="578">
        <f t="shared" si="1"/>
        <v>-1189.1335799999797</v>
      </c>
      <c r="N56" s="404">
        <v>0.8002</v>
      </c>
      <c r="O56" s="230">
        <f>H56*N56</f>
        <v>7787.906489999999</v>
      </c>
      <c r="P56" s="231"/>
      <c r="Q56" s="232">
        <v>0.0734</v>
      </c>
      <c r="R56" s="230">
        <f>H56*Q56</f>
        <v>714.3618299999999</v>
      </c>
      <c r="S56" s="231"/>
      <c r="T56" s="232">
        <v>0.1264</v>
      </c>
      <c r="U56" s="230">
        <f>H56*T56</f>
        <v>1230.18168</v>
      </c>
      <c r="V56" s="233"/>
    </row>
    <row r="57" spans="1:22" s="244" customFormat="1" ht="18.75">
      <c r="A57" s="234"/>
      <c r="B57" s="241"/>
      <c r="C57" s="504">
        <v>2</v>
      </c>
      <c r="D57" s="511" t="s">
        <v>51</v>
      </c>
      <c r="E57" s="483">
        <f>F57*3</f>
        <v>56601</v>
      </c>
      <c r="F57" s="487">
        <v>18867</v>
      </c>
      <c r="G57" s="483">
        <f>H57*9</f>
        <v>175184.09999999998</v>
      </c>
      <c r="H57" s="487">
        <f>(12000*1.15*1.302)*13/12</f>
        <v>19464.899999999998</v>
      </c>
      <c r="I57" s="483"/>
      <c r="J57" s="485">
        <f t="shared" si="0"/>
        <v>231785.09999999998</v>
      </c>
      <c r="K57" s="483"/>
      <c r="L57" s="487">
        <f>178742.92*1.302</f>
        <v>232723.28184</v>
      </c>
      <c r="M57" s="578">
        <f t="shared" si="1"/>
        <v>938.1818400000338</v>
      </c>
      <c r="N57" s="425">
        <v>1</v>
      </c>
      <c r="O57" s="248">
        <f>N57*H57</f>
        <v>19464.899999999998</v>
      </c>
      <c r="P57" s="170"/>
      <c r="Q57" s="165">
        <v>0</v>
      </c>
      <c r="R57" s="163">
        <f>Q57*H57</f>
        <v>0</v>
      </c>
      <c r="S57" s="170"/>
      <c r="T57" s="165">
        <v>0</v>
      </c>
      <c r="U57" s="248">
        <f>T57*H57</f>
        <v>0</v>
      </c>
      <c r="V57" s="261"/>
    </row>
    <row r="58" spans="1:22" ht="19.5" thickBot="1">
      <c r="A58" s="234"/>
      <c r="B58" s="145"/>
      <c r="C58" s="403"/>
      <c r="D58" s="512" t="s">
        <v>52</v>
      </c>
      <c r="E58" s="487">
        <f>SUM(E59:E59)</f>
        <v>135000</v>
      </c>
      <c r="F58" s="484">
        <v>45000</v>
      </c>
      <c r="G58" s="487">
        <f>SUM(G59:G59)</f>
        <v>468000</v>
      </c>
      <c r="H58" s="484">
        <v>52000</v>
      </c>
      <c r="I58" s="487"/>
      <c r="J58" s="485">
        <f t="shared" si="0"/>
        <v>603000</v>
      </c>
      <c r="K58" s="487"/>
      <c r="L58" s="484">
        <f>L59</f>
        <v>603000</v>
      </c>
      <c r="M58" s="578">
        <f t="shared" si="1"/>
        <v>0</v>
      </c>
      <c r="N58" s="427"/>
      <c r="O58" s="262">
        <f>SUM(O59:O59)</f>
        <v>43256.013985523234</v>
      </c>
      <c r="P58" s="263"/>
      <c r="Q58" s="264"/>
      <c r="R58" s="262">
        <f>SUM(R59:R59)</f>
        <v>5457.486301813144</v>
      </c>
      <c r="S58" s="263"/>
      <c r="T58" s="264"/>
      <c r="U58" s="262">
        <f>SUM(U59:U59)</f>
        <v>3286.4997126636194</v>
      </c>
      <c r="V58" s="265"/>
    </row>
    <row r="59" spans="1:22" ht="68.25" customHeight="1" thickBot="1">
      <c r="A59" s="259"/>
      <c r="B59" s="152"/>
      <c r="C59" s="260">
        <v>3</v>
      </c>
      <c r="D59" s="513" t="s">
        <v>53</v>
      </c>
      <c r="E59" s="483">
        <f>K59*9+45000*3</f>
        <v>135000</v>
      </c>
      <c r="F59" s="487">
        <v>45000</v>
      </c>
      <c r="G59" s="483">
        <f aca="true" t="shared" si="7" ref="G59:G67">H59*9</f>
        <v>468000</v>
      </c>
      <c r="H59" s="487">
        <v>52000</v>
      </c>
      <c r="I59" s="483"/>
      <c r="J59" s="485">
        <f t="shared" si="0"/>
        <v>603000</v>
      </c>
      <c r="K59" s="483"/>
      <c r="L59" s="487">
        <f>45000*3+52000*9</f>
        <v>603000</v>
      </c>
      <c r="M59" s="578">
        <f t="shared" si="1"/>
        <v>0</v>
      </c>
      <c r="N59" s="424">
        <f>жилые+паркинг/4</f>
        <v>0.8318464227985237</v>
      </c>
      <c r="O59" s="236">
        <f aca="true" t="shared" si="8" ref="O59:O75">H59*N59</f>
        <v>43256.013985523234</v>
      </c>
      <c r="P59" s="237"/>
      <c r="Q59" s="238">
        <f>нежилые+паркинг/4</f>
        <v>0.10495165965025276</v>
      </c>
      <c r="R59" s="236">
        <f>H59*Q59</f>
        <v>5457.486301813144</v>
      </c>
      <c r="S59" s="237"/>
      <c r="T59" s="238">
        <f>паркинг/2</f>
        <v>0.06320191755122345</v>
      </c>
      <c r="U59" s="236">
        <f>H59*T59</f>
        <v>3286.4997126636194</v>
      </c>
      <c r="V59" s="239"/>
    </row>
    <row r="60" spans="1:22" s="266" customFormat="1" ht="19.5" thickBot="1">
      <c r="A60" s="234"/>
      <c r="B60" s="145"/>
      <c r="C60" s="403">
        <v>4</v>
      </c>
      <c r="D60" s="514" t="s">
        <v>54</v>
      </c>
      <c r="E60" s="483">
        <f aca="true" t="shared" si="9" ref="E60:E67">F60*3</f>
        <v>225</v>
      </c>
      <c r="F60" s="484">
        <v>75</v>
      </c>
      <c r="G60" s="483">
        <f t="shared" si="7"/>
        <v>675</v>
      </c>
      <c r="H60" s="484">
        <v>75</v>
      </c>
      <c r="I60" s="483"/>
      <c r="J60" s="485">
        <f t="shared" si="0"/>
        <v>900</v>
      </c>
      <c r="K60" s="483"/>
      <c r="L60" s="484">
        <v>500</v>
      </c>
      <c r="M60" s="578">
        <f t="shared" si="1"/>
        <v>-400</v>
      </c>
      <c r="N60" s="425">
        <v>1</v>
      </c>
      <c r="O60" s="230">
        <f t="shared" si="8"/>
        <v>75</v>
      </c>
      <c r="P60" s="170"/>
      <c r="Q60" s="165">
        <v>0</v>
      </c>
      <c r="R60" s="163">
        <v>0</v>
      </c>
      <c r="S60" s="170"/>
      <c r="T60" s="165">
        <v>0</v>
      </c>
      <c r="U60" s="248">
        <v>0</v>
      </c>
      <c r="V60" s="261"/>
    </row>
    <row r="61" spans="1:22" s="266" customFormat="1" ht="19.5" thickBot="1">
      <c r="A61" s="234"/>
      <c r="B61" s="145"/>
      <c r="C61" s="403">
        <v>5</v>
      </c>
      <c r="D61" s="514" t="s">
        <v>55</v>
      </c>
      <c r="E61" s="483">
        <f t="shared" si="9"/>
        <v>2400</v>
      </c>
      <c r="F61" s="484">
        <v>800</v>
      </c>
      <c r="G61" s="483">
        <f t="shared" si="7"/>
        <v>9000</v>
      </c>
      <c r="H61" s="484">
        <v>1000</v>
      </c>
      <c r="I61" s="483"/>
      <c r="J61" s="485">
        <f t="shared" si="0"/>
        <v>11400</v>
      </c>
      <c r="K61" s="483"/>
      <c r="L61" s="484">
        <v>10764</v>
      </c>
      <c r="M61" s="578">
        <f t="shared" si="1"/>
        <v>-636</v>
      </c>
      <c r="N61" s="425">
        <v>1</v>
      </c>
      <c r="O61" s="230">
        <f t="shared" si="8"/>
        <v>1000</v>
      </c>
      <c r="P61" s="170"/>
      <c r="Q61" s="165">
        <v>0</v>
      </c>
      <c r="R61" s="163">
        <v>0</v>
      </c>
      <c r="S61" s="170"/>
      <c r="T61" s="165">
        <v>0</v>
      </c>
      <c r="U61" s="248">
        <v>0</v>
      </c>
      <c r="V61" s="261"/>
    </row>
    <row r="62" spans="1:22" s="266" customFormat="1" ht="32.25" thickBot="1">
      <c r="A62" s="234"/>
      <c r="B62" s="145"/>
      <c r="C62" s="403">
        <v>6</v>
      </c>
      <c r="D62" s="514" t="s">
        <v>56</v>
      </c>
      <c r="E62" s="483">
        <f t="shared" si="9"/>
        <v>1200</v>
      </c>
      <c r="F62" s="484">
        <v>400</v>
      </c>
      <c r="G62" s="483">
        <f t="shared" si="7"/>
        <v>3600</v>
      </c>
      <c r="H62" s="484">
        <v>400</v>
      </c>
      <c r="I62" s="483"/>
      <c r="J62" s="485">
        <f t="shared" si="0"/>
        <v>4800</v>
      </c>
      <c r="K62" s="483"/>
      <c r="L62" s="484">
        <v>0</v>
      </c>
      <c r="M62" s="578">
        <f t="shared" si="1"/>
        <v>-4800</v>
      </c>
      <c r="N62" s="404">
        <v>0.8002</v>
      </c>
      <c r="O62" s="230">
        <f t="shared" si="8"/>
        <v>320.08</v>
      </c>
      <c r="P62" s="231"/>
      <c r="Q62" s="232">
        <v>0.0734</v>
      </c>
      <c r="R62" s="230">
        <f aca="true" t="shared" si="10" ref="R62:R75">H62*Q62</f>
        <v>29.360000000000003</v>
      </c>
      <c r="S62" s="231"/>
      <c r="T62" s="232">
        <v>0.1264</v>
      </c>
      <c r="U62" s="230">
        <f aca="true" t="shared" si="11" ref="U62:U75">H62*T62</f>
        <v>50.56</v>
      </c>
      <c r="V62" s="233"/>
    </row>
    <row r="63" spans="1:22" ht="32.25" thickBot="1">
      <c r="A63" s="234"/>
      <c r="B63" s="145"/>
      <c r="C63" s="403">
        <v>7</v>
      </c>
      <c r="D63" s="512" t="s">
        <v>57</v>
      </c>
      <c r="E63" s="483">
        <f t="shared" si="9"/>
        <v>2400</v>
      </c>
      <c r="F63" s="484">
        <v>800</v>
      </c>
      <c r="G63" s="483">
        <f t="shared" si="7"/>
        <v>6750</v>
      </c>
      <c r="H63" s="484">
        <v>750</v>
      </c>
      <c r="I63" s="483"/>
      <c r="J63" s="485">
        <f t="shared" si="0"/>
        <v>9150</v>
      </c>
      <c r="K63" s="483"/>
      <c r="L63" s="484">
        <v>5236.32</v>
      </c>
      <c r="M63" s="578">
        <f t="shared" si="1"/>
        <v>-3913.6800000000003</v>
      </c>
      <c r="N63" s="404">
        <v>0.8002</v>
      </c>
      <c r="O63" s="230">
        <f t="shared" si="8"/>
        <v>600.15</v>
      </c>
      <c r="P63" s="231"/>
      <c r="Q63" s="232">
        <v>0.0734</v>
      </c>
      <c r="R63" s="230">
        <f t="shared" si="10"/>
        <v>55.050000000000004</v>
      </c>
      <c r="S63" s="231"/>
      <c r="T63" s="232">
        <v>0.1264</v>
      </c>
      <c r="U63" s="230">
        <f t="shared" si="11"/>
        <v>94.80000000000001</v>
      </c>
      <c r="V63" s="233"/>
    </row>
    <row r="64" spans="1:22" ht="32.25" thickBot="1">
      <c r="A64" s="234"/>
      <c r="B64" s="145"/>
      <c r="C64" s="403"/>
      <c r="D64" s="515" t="s">
        <v>58</v>
      </c>
      <c r="E64" s="483">
        <f t="shared" si="9"/>
        <v>2250</v>
      </c>
      <c r="F64" s="484">
        <f>F65+F66+F67</f>
        <v>750</v>
      </c>
      <c r="G64" s="483">
        <f t="shared" si="7"/>
        <v>6750</v>
      </c>
      <c r="H64" s="484">
        <f>H65+H66+H67</f>
        <v>750</v>
      </c>
      <c r="I64" s="483"/>
      <c r="J64" s="485">
        <f t="shared" si="0"/>
        <v>9000</v>
      </c>
      <c r="K64" s="483"/>
      <c r="L64" s="484">
        <f>L65+L66+L67</f>
        <v>18554</v>
      </c>
      <c r="M64" s="578">
        <f t="shared" si="1"/>
        <v>9554</v>
      </c>
      <c r="N64" s="404">
        <v>0.8002</v>
      </c>
      <c r="O64" s="230">
        <f t="shared" si="8"/>
        <v>600.15</v>
      </c>
      <c r="P64" s="231"/>
      <c r="Q64" s="232">
        <v>0.0734</v>
      </c>
      <c r="R64" s="230">
        <f t="shared" si="10"/>
        <v>55.050000000000004</v>
      </c>
      <c r="S64" s="231"/>
      <c r="T64" s="232">
        <v>0.1264</v>
      </c>
      <c r="U64" s="230">
        <f t="shared" si="11"/>
        <v>94.80000000000001</v>
      </c>
      <c r="V64" s="233"/>
    </row>
    <row r="65" spans="1:22" s="244" customFormat="1" ht="19.5" hidden="1" thickBot="1">
      <c r="A65" s="234"/>
      <c r="B65" s="241"/>
      <c r="C65" s="504"/>
      <c r="D65" s="516" t="s">
        <v>59</v>
      </c>
      <c r="E65" s="483">
        <f t="shared" si="9"/>
        <v>0</v>
      </c>
      <c r="F65" s="487">
        <v>0</v>
      </c>
      <c r="G65" s="483">
        <f t="shared" si="7"/>
        <v>0</v>
      </c>
      <c r="H65" s="487">
        <v>0</v>
      </c>
      <c r="I65" s="483"/>
      <c r="J65" s="485">
        <f t="shared" si="0"/>
        <v>0</v>
      </c>
      <c r="K65" s="483"/>
      <c r="L65" s="487"/>
      <c r="M65" s="578">
        <f t="shared" si="1"/>
        <v>0</v>
      </c>
      <c r="N65" s="404">
        <v>0.8002</v>
      </c>
      <c r="O65" s="230">
        <f t="shared" si="8"/>
        <v>0</v>
      </c>
      <c r="P65" s="231"/>
      <c r="Q65" s="232">
        <v>0.0734</v>
      </c>
      <c r="R65" s="230">
        <f t="shared" si="10"/>
        <v>0</v>
      </c>
      <c r="S65" s="231"/>
      <c r="T65" s="232">
        <v>0.1264</v>
      </c>
      <c r="U65" s="230">
        <f t="shared" si="11"/>
        <v>0</v>
      </c>
      <c r="V65" s="233"/>
    </row>
    <row r="66" spans="1:22" s="244" customFormat="1" ht="19.5" hidden="1" thickBot="1">
      <c r="A66" s="234"/>
      <c r="B66" s="241"/>
      <c r="C66" s="504"/>
      <c r="D66" s="516" t="s">
        <v>92</v>
      </c>
      <c r="E66" s="483">
        <f t="shared" si="9"/>
        <v>0</v>
      </c>
      <c r="F66" s="487">
        <v>0</v>
      </c>
      <c r="G66" s="483">
        <f t="shared" si="7"/>
        <v>0</v>
      </c>
      <c r="H66" s="487">
        <v>0</v>
      </c>
      <c r="I66" s="483"/>
      <c r="J66" s="485">
        <f t="shared" si="0"/>
        <v>0</v>
      </c>
      <c r="K66" s="483"/>
      <c r="L66" s="487"/>
      <c r="M66" s="578">
        <f t="shared" si="1"/>
        <v>0</v>
      </c>
      <c r="N66" s="404">
        <v>0.8002</v>
      </c>
      <c r="O66" s="230">
        <f t="shared" si="8"/>
        <v>0</v>
      </c>
      <c r="P66" s="231"/>
      <c r="Q66" s="232">
        <v>0.0734</v>
      </c>
      <c r="R66" s="230">
        <f t="shared" si="10"/>
        <v>0</v>
      </c>
      <c r="S66" s="231"/>
      <c r="T66" s="232">
        <v>0.1264</v>
      </c>
      <c r="U66" s="230">
        <f t="shared" si="11"/>
        <v>0</v>
      </c>
      <c r="V66" s="233"/>
    </row>
    <row r="67" spans="1:22" s="244" customFormat="1" ht="30.75" customHeight="1" thickBot="1">
      <c r="A67" s="234"/>
      <c r="B67" s="241"/>
      <c r="C67" s="504">
        <v>8</v>
      </c>
      <c r="D67" s="520" t="s">
        <v>60</v>
      </c>
      <c r="E67" s="521">
        <f t="shared" si="9"/>
        <v>2250</v>
      </c>
      <c r="F67" s="522">
        <v>750</v>
      </c>
      <c r="G67" s="521">
        <f t="shared" si="7"/>
        <v>6750</v>
      </c>
      <c r="H67" s="522">
        <v>750</v>
      </c>
      <c r="I67" s="521"/>
      <c r="J67" s="523">
        <f t="shared" si="0"/>
        <v>9000</v>
      </c>
      <c r="K67" s="521"/>
      <c r="L67" s="524">
        <f>3700+4900+3500+1134+5320</f>
        <v>18554</v>
      </c>
      <c r="M67" s="580">
        <f t="shared" si="1"/>
        <v>9554</v>
      </c>
      <c r="N67" s="404">
        <v>0.8002</v>
      </c>
      <c r="O67" s="230">
        <f t="shared" si="8"/>
        <v>600.15</v>
      </c>
      <c r="P67" s="231"/>
      <c r="Q67" s="232">
        <v>0.0734</v>
      </c>
      <c r="R67" s="230">
        <f t="shared" si="10"/>
        <v>55.050000000000004</v>
      </c>
      <c r="S67" s="231"/>
      <c r="T67" s="232">
        <v>0.1264</v>
      </c>
      <c r="U67" s="230">
        <f t="shared" si="11"/>
        <v>94.80000000000001</v>
      </c>
      <c r="V67" s="233"/>
    </row>
    <row r="68" spans="1:22" ht="32.25" thickBot="1">
      <c r="A68" s="234"/>
      <c r="B68" s="145"/>
      <c r="C68" s="403"/>
      <c r="D68" s="529" t="s">
        <v>61</v>
      </c>
      <c r="E68" s="530">
        <f>SUM(E69:E75)</f>
        <v>35700</v>
      </c>
      <c r="F68" s="530">
        <f>SUM(F69:F75)</f>
        <v>11900</v>
      </c>
      <c r="G68" s="530">
        <f>SUM(G69:G75)</f>
        <v>126000</v>
      </c>
      <c r="H68" s="530">
        <f>SUM(H69:H75)</f>
        <v>14000</v>
      </c>
      <c r="I68" s="531"/>
      <c r="J68" s="532">
        <f t="shared" si="0"/>
        <v>161700</v>
      </c>
      <c r="K68" s="531"/>
      <c r="L68" s="530">
        <f>SUM(L69:L75)</f>
        <v>198643.5</v>
      </c>
      <c r="M68" s="583">
        <f t="shared" si="1"/>
        <v>36943.5</v>
      </c>
      <c r="N68" s="404">
        <v>0.8002</v>
      </c>
      <c r="O68" s="230">
        <f t="shared" si="8"/>
        <v>11202.800000000001</v>
      </c>
      <c r="P68" s="231"/>
      <c r="Q68" s="232">
        <v>0.0734</v>
      </c>
      <c r="R68" s="230">
        <f t="shared" si="10"/>
        <v>1027.6000000000001</v>
      </c>
      <c r="S68" s="231"/>
      <c r="T68" s="232">
        <v>0.1264</v>
      </c>
      <c r="U68" s="230">
        <f t="shared" si="11"/>
        <v>1769.6000000000001</v>
      </c>
      <c r="V68" s="233"/>
    </row>
    <row r="69" spans="1:22" s="244" customFormat="1" ht="19.5" thickBot="1">
      <c r="A69" s="234"/>
      <c r="B69" s="241"/>
      <c r="C69" s="504">
        <v>10</v>
      </c>
      <c r="D69" s="525" t="s">
        <v>62</v>
      </c>
      <c r="E69" s="526">
        <f aca="true" t="shared" si="12" ref="E69:E75">F69*3</f>
        <v>13500</v>
      </c>
      <c r="F69" s="527">
        <v>4500</v>
      </c>
      <c r="G69" s="526">
        <f aca="true" t="shared" si="13" ref="G69:G75">H69*9</f>
        <v>45000</v>
      </c>
      <c r="H69" s="527">
        <v>5000</v>
      </c>
      <c r="I69" s="526"/>
      <c r="J69" s="528">
        <f aca="true" t="shared" si="14" ref="J69:J85">E69+G69</f>
        <v>58500</v>
      </c>
      <c r="K69" s="526"/>
      <c r="L69" s="533">
        <f>4737.7*12</f>
        <v>56852.399999999994</v>
      </c>
      <c r="M69" s="581">
        <f aca="true" t="shared" si="15" ref="M69:M85">L69-J69</f>
        <v>-1647.6000000000058</v>
      </c>
      <c r="N69" s="404">
        <v>0.8002</v>
      </c>
      <c r="O69" s="230">
        <f t="shared" si="8"/>
        <v>4001</v>
      </c>
      <c r="P69" s="231"/>
      <c r="Q69" s="232">
        <v>0.0734</v>
      </c>
      <c r="R69" s="230">
        <f t="shared" si="10"/>
        <v>367.00000000000006</v>
      </c>
      <c r="S69" s="231"/>
      <c r="T69" s="232">
        <v>0.1264</v>
      </c>
      <c r="U69" s="230">
        <f t="shared" si="11"/>
        <v>632.0000000000001</v>
      </c>
      <c r="V69" s="233"/>
    </row>
    <row r="70" spans="1:22" s="244" customFormat="1" ht="19.5" thickBot="1">
      <c r="A70" s="234"/>
      <c r="B70" s="241"/>
      <c r="C70" s="504">
        <v>11</v>
      </c>
      <c r="D70" s="517" t="s">
        <v>63</v>
      </c>
      <c r="E70" s="483">
        <f t="shared" si="12"/>
        <v>6000</v>
      </c>
      <c r="F70" s="487">
        <v>2000</v>
      </c>
      <c r="G70" s="483">
        <f t="shared" si="13"/>
        <v>22500</v>
      </c>
      <c r="H70" s="487">
        <v>2500</v>
      </c>
      <c r="I70" s="483"/>
      <c r="J70" s="485">
        <f t="shared" si="14"/>
        <v>28500</v>
      </c>
      <c r="K70" s="483"/>
      <c r="L70" s="453">
        <f>3420+2800+2160+21893</f>
        <v>30273</v>
      </c>
      <c r="M70" s="582">
        <f t="shared" si="15"/>
        <v>1773</v>
      </c>
      <c r="N70" s="428">
        <f>O9</f>
        <v>0.91603591702667</v>
      </c>
      <c r="O70" s="267">
        <f t="shared" si="8"/>
        <v>2290.089792566675</v>
      </c>
      <c r="P70" s="268"/>
      <c r="Q70" s="269">
        <f>R9</f>
        <v>0.08396408297333001</v>
      </c>
      <c r="R70" s="267">
        <f t="shared" si="10"/>
        <v>209.910207433325</v>
      </c>
      <c r="S70" s="268"/>
      <c r="T70" s="269">
        <v>0</v>
      </c>
      <c r="U70" s="267">
        <f t="shared" si="11"/>
        <v>0</v>
      </c>
      <c r="V70" s="270"/>
    </row>
    <row r="71" spans="1:22" s="244" customFormat="1" ht="19.5" thickBot="1">
      <c r="A71" s="234"/>
      <c r="B71" s="241"/>
      <c r="C71" s="504">
        <v>12</v>
      </c>
      <c r="D71" s="517" t="s">
        <v>64</v>
      </c>
      <c r="E71" s="483">
        <f t="shared" si="12"/>
        <v>1500</v>
      </c>
      <c r="F71" s="487">
        <v>500</v>
      </c>
      <c r="G71" s="483">
        <f t="shared" si="13"/>
        <v>4500</v>
      </c>
      <c r="H71" s="487">
        <v>500</v>
      </c>
      <c r="I71" s="483"/>
      <c r="J71" s="485">
        <f t="shared" si="14"/>
        <v>6000</v>
      </c>
      <c r="K71" s="483"/>
      <c r="L71" s="534">
        <f>9000+3500+4300</f>
        <v>16800</v>
      </c>
      <c r="M71" s="582">
        <f t="shared" si="15"/>
        <v>10800</v>
      </c>
      <c r="N71" s="428">
        <f>O9</f>
        <v>0.91603591702667</v>
      </c>
      <c r="O71" s="267">
        <f t="shared" si="8"/>
        <v>458.017958513335</v>
      </c>
      <c r="P71" s="268"/>
      <c r="Q71" s="269">
        <f>R9</f>
        <v>0.08396408297333001</v>
      </c>
      <c r="R71" s="267">
        <f t="shared" si="10"/>
        <v>41.982041486665004</v>
      </c>
      <c r="S71" s="268"/>
      <c r="T71" s="269">
        <v>0</v>
      </c>
      <c r="U71" s="267">
        <f t="shared" si="11"/>
        <v>0</v>
      </c>
      <c r="V71" s="270"/>
    </row>
    <row r="72" spans="1:22" s="244" customFormat="1" ht="19.5" thickBot="1">
      <c r="A72" s="234"/>
      <c r="B72" s="241"/>
      <c r="C72" s="504">
        <v>13</v>
      </c>
      <c r="D72" s="517" t="s">
        <v>65</v>
      </c>
      <c r="E72" s="483">
        <f t="shared" si="12"/>
        <v>6000</v>
      </c>
      <c r="F72" s="487">
        <v>2000</v>
      </c>
      <c r="G72" s="483">
        <f t="shared" si="13"/>
        <v>22500</v>
      </c>
      <c r="H72" s="487">
        <v>2500</v>
      </c>
      <c r="I72" s="483"/>
      <c r="J72" s="485">
        <f t="shared" si="14"/>
        <v>28500</v>
      </c>
      <c r="K72" s="483"/>
      <c r="L72" s="453">
        <f>25584+18280</f>
        <v>43864</v>
      </c>
      <c r="M72" s="582">
        <f t="shared" si="15"/>
        <v>15364</v>
      </c>
      <c r="N72" s="428">
        <f>O9</f>
        <v>0.91603591702667</v>
      </c>
      <c r="O72" s="267">
        <f t="shared" si="8"/>
        <v>2290.089792566675</v>
      </c>
      <c r="P72" s="268"/>
      <c r="Q72" s="269">
        <f>R9</f>
        <v>0.08396408297333001</v>
      </c>
      <c r="R72" s="267">
        <f t="shared" si="10"/>
        <v>209.910207433325</v>
      </c>
      <c r="S72" s="268"/>
      <c r="T72" s="269">
        <v>0</v>
      </c>
      <c r="U72" s="267">
        <f t="shared" si="11"/>
        <v>0</v>
      </c>
      <c r="V72" s="270"/>
    </row>
    <row r="73" spans="1:22" s="244" customFormat="1" ht="19.5" thickBot="1">
      <c r="A73" s="234"/>
      <c r="B73" s="241"/>
      <c r="C73" s="504">
        <v>14</v>
      </c>
      <c r="D73" s="517" t="s">
        <v>66</v>
      </c>
      <c r="E73" s="483">
        <f t="shared" si="12"/>
        <v>6000</v>
      </c>
      <c r="F73" s="487">
        <v>2000</v>
      </c>
      <c r="G73" s="483">
        <f t="shared" si="13"/>
        <v>22500</v>
      </c>
      <c r="H73" s="487">
        <v>2500</v>
      </c>
      <c r="I73" s="483"/>
      <c r="J73" s="485">
        <f t="shared" si="14"/>
        <v>28500</v>
      </c>
      <c r="K73" s="483"/>
      <c r="L73" s="453">
        <f>10955+9950+3328+6790+10015+7600</f>
        <v>48638</v>
      </c>
      <c r="M73" s="582">
        <f t="shared" si="15"/>
        <v>20138</v>
      </c>
      <c r="N73" s="404">
        <v>0.8002</v>
      </c>
      <c r="O73" s="230">
        <f t="shared" si="8"/>
        <v>2000.5</v>
      </c>
      <c r="P73" s="231"/>
      <c r="Q73" s="232">
        <v>0.0734</v>
      </c>
      <c r="R73" s="230">
        <f t="shared" si="10"/>
        <v>183.50000000000003</v>
      </c>
      <c r="S73" s="231"/>
      <c r="T73" s="232">
        <v>0.1264</v>
      </c>
      <c r="U73" s="230">
        <f t="shared" si="11"/>
        <v>316.00000000000006</v>
      </c>
      <c r="V73" s="233"/>
    </row>
    <row r="74" spans="1:22" s="244" customFormat="1" ht="19.5" thickBot="1">
      <c r="A74" s="234"/>
      <c r="B74" s="241"/>
      <c r="C74" s="504">
        <v>15</v>
      </c>
      <c r="D74" s="517" t="s">
        <v>67</v>
      </c>
      <c r="E74" s="483">
        <f t="shared" si="12"/>
        <v>1500</v>
      </c>
      <c r="F74" s="487">
        <v>500</v>
      </c>
      <c r="G74" s="483">
        <f t="shared" si="13"/>
        <v>4500</v>
      </c>
      <c r="H74" s="487">
        <v>500</v>
      </c>
      <c r="I74" s="483"/>
      <c r="J74" s="485">
        <f t="shared" si="14"/>
        <v>6000</v>
      </c>
      <c r="K74" s="483"/>
      <c r="L74" s="534">
        <v>0</v>
      </c>
      <c r="M74" s="582">
        <f t="shared" si="15"/>
        <v>-6000</v>
      </c>
      <c r="N74" s="404">
        <v>0.8002</v>
      </c>
      <c r="O74" s="230">
        <f t="shared" si="8"/>
        <v>400.1</v>
      </c>
      <c r="P74" s="231"/>
      <c r="Q74" s="232">
        <v>0.0734</v>
      </c>
      <c r="R74" s="230">
        <f t="shared" si="10"/>
        <v>36.7</v>
      </c>
      <c r="S74" s="231"/>
      <c r="T74" s="232">
        <v>0.1264</v>
      </c>
      <c r="U74" s="230">
        <f t="shared" si="11"/>
        <v>63.2</v>
      </c>
      <c r="V74" s="233"/>
    </row>
    <row r="75" spans="1:22" s="244" customFormat="1" ht="19.5" thickBot="1">
      <c r="A75" s="234"/>
      <c r="B75" s="241"/>
      <c r="C75" s="504">
        <v>16</v>
      </c>
      <c r="D75" s="518" t="s">
        <v>68</v>
      </c>
      <c r="E75" s="498">
        <f t="shared" si="12"/>
        <v>1200</v>
      </c>
      <c r="F75" s="519">
        <v>400</v>
      </c>
      <c r="G75" s="498">
        <f t="shared" si="13"/>
        <v>4500</v>
      </c>
      <c r="H75" s="519">
        <v>500</v>
      </c>
      <c r="I75" s="498"/>
      <c r="J75" s="499">
        <f t="shared" si="14"/>
        <v>5700</v>
      </c>
      <c r="K75" s="498"/>
      <c r="L75" s="535">
        <v>2216.1</v>
      </c>
      <c r="M75" s="454">
        <f t="shared" si="15"/>
        <v>-3483.9</v>
      </c>
      <c r="N75" s="429">
        <v>0.8002</v>
      </c>
      <c r="O75" s="416">
        <f t="shared" si="8"/>
        <v>400.1</v>
      </c>
      <c r="P75" s="231"/>
      <c r="Q75" s="232">
        <v>0.0734</v>
      </c>
      <c r="R75" s="230">
        <f t="shared" si="10"/>
        <v>36.7</v>
      </c>
      <c r="S75" s="231"/>
      <c r="T75" s="232">
        <v>0.1264</v>
      </c>
      <c r="U75" s="230">
        <f t="shared" si="11"/>
        <v>63.2</v>
      </c>
      <c r="V75" s="233"/>
    </row>
    <row r="76" spans="1:22" ht="19.5" thickBot="1">
      <c r="A76" s="234"/>
      <c r="B76" s="271"/>
      <c r="C76" s="146">
        <v>3</v>
      </c>
      <c r="D76" s="539" t="s">
        <v>69</v>
      </c>
      <c r="E76" s="540">
        <f>SUM(E77:E81)</f>
        <v>72675</v>
      </c>
      <c r="F76" s="540">
        <f>SUM(F77:F81)</f>
        <v>24225</v>
      </c>
      <c r="G76" s="540">
        <f>SUM(G77:G81)</f>
        <v>248230.125</v>
      </c>
      <c r="H76" s="540">
        <f>SUM(H77:H81)</f>
        <v>27581.125</v>
      </c>
      <c r="I76" s="540"/>
      <c r="J76" s="507">
        <f t="shared" si="14"/>
        <v>320905.125</v>
      </c>
      <c r="K76" s="540"/>
      <c r="L76" s="541">
        <f>SUM(L77:L81)</f>
        <v>329931.52752000006</v>
      </c>
      <c r="M76" s="507">
        <f t="shared" si="15"/>
        <v>9026.402520000061</v>
      </c>
      <c r="N76" s="418"/>
      <c r="O76" s="272">
        <f>SUM(O77:O81)</f>
        <v>22157.293162769998</v>
      </c>
      <c r="P76" s="273"/>
      <c r="Q76" s="274"/>
      <c r="R76" s="272">
        <f>SUM(R77:R81)</f>
        <v>2032.3776372299978</v>
      </c>
      <c r="S76" s="275"/>
      <c r="T76" s="274"/>
      <c r="U76" s="272">
        <f>SUM(U77:U81)</f>
        <v>3391.4541999999997</v>
      </c>
      <c r="V76" s="276"/>
    </row>
    <row r="77" spans="1:22" ht="19.5" thickBot="1">
      <c r="A77" s="234"/>
      <c r="B77" s="145"/>
      <c r="C77" s="146"/>
      <c r="D77" s="235" t="s">
        <v>70</v>
      </c>
      <c r="E77" s="489">
        <f>F77*3</f>
        <v>63675</v>
      </c>
      <c r="F77" s="510">
        <v>21225</v>
      </c>
      <c r="G77" s="491">
        <f>H77*9</f>
        <v>218980.125</v>
      </c>
      <c r="H77" s="510">
        <f>(15000*1.15*1.302)*13/12</f>
        <v>24331.125</v>
      </c>
      <c r="I77" s="491"/>
      <c r="J77" s="492">
        <f t="shared" si="14"/>
        <v>282655.125</v>
      </c>
      <c r="K77" s="491"/>
      <c r="L77" s="510">
        <f>226969.76*1.302</f>
        <v>295514.62752000004</v>
      </c>
      <c r="M77" s="577">
        <f t="shared" si="15"/>
        <v>12859.502520000038</v>
      </c>
      <c r="N77" s="430">
        <v>0.8002</v>
      </c>
      <c r="O77" s="417">
        <f>H77*N77</f>
        <v>19469.766225</v>
      </c>
      <c r="P77" s="231"/>
      <c r="Q77" s="232">
        <v>0.0734</v>
      </c>
      <c r="R77" s="230">
        <f>H77*Q77</f>
        <v>1785.9045750000002</v>
      </c>
      <c r="S77" s="231"/>
      <c r="T77" s="232">
        <v>0.1264</v>
      </c>
      <c r="U77" s="230">
        <f>H77*T77</f>
        <v>3075.4542</v>
      </c>
      <c r="V77" s="233"/>
    </row>
    <row r="78" spans="1:22" ht="19.5" thickBot="1">
      <c r="A78" s="234"/>
      <c r="B78" s="145"/>
      <c r="C78" s="146"/>
      <c r="D78" s="155" t="s">
        <v>71</v>
      </c>
      <c r="E78" s="494">
        <f>F78*3</f>
        <v>4500</v>
      </c>
      <c r="F78" s="487">
        <v>1500</v>
      </c>
      <c r="G78" s="483">
        <f>H78*9</f>
        <v>13500</v>
      </c>
      <c r="H78" s="487">
        <v>1500</v>
      </c>
      <c r="I78" s="483"/>
      <c r="J78" s="485">
        <f t="shared" si="14"/>
        <v>18000</v>
      </c>
      <c r="K78" s="483"/>
      <c r="L78" s="484">
        <f>11558+5000+2991</f>
        <v>19549</v>
      </c>
      <c r="M78" s="578">
        <f t="shared" si="15"/>
        <v>1549</v>
      </c>
      <c r="N78" s="404">
        <v>0.8002</v>
      </c>
      <c r="O78" s="230">
        <f>H78*N78</f>
        <v>1200.3</v>
      </c>
      <c r="P78" s="231"/>
      <c r="Q78" s="232">
        <v>0.0734</v>
      </c>
      <c r="R78" s="230">
        <f>H78*Q78</f>
        <v>110.10000000000001</v>
      </c>
      <c r="S78" s="231"/>
      <c r="T78" s="232">
        <v>0.1264</v>
      </c>
      <c r="U78" s="230">
        <f>H78*T78</f>
        <v>189.60000000000002</v>
      </c>
      <c r="V78" s="233"/>
    </row>
    <row r="79" spans="1:22" ht="32.25" thickBot="1">
      <c r="A79" s="234"/>
      <c r="B79" s="145"/>
      <c r="C79" s="146"/>
      <c r="D79" s="235" t="s">
        <v>215</v>
      </c>
      <c r="E79" s="494">
        <f>F79*3</f>
        <v>1500</v>
      </c>
      <c r="F79" s="487">
        <v>500</v>
      </c>
      <c r="G79" s="483">
        <f>H79*9</f>
        <v>6750</v>
      </c>
      <c r="H79" s="487">
        <v>750</v>
      </c>
      <c r="I79" s="483"/>
      <c r="J79" s="485">
        <f t="shared" si="14"/>
        <v>8250</v>
      </c>
      <c r="K79" s="483"/>
      <c r="L79" s="484">
        <f>3510+3200</f>
        <v>6710</v>
      </c>
      <c r="M79" s="578">
        <f t="shared" si="15"/>
        <v>-1540</v>
      </c>
      <c r="N79" s="428">
        <f>O9</f>
        <v>0.91603591702667</v>
      </c>
      <c r="O79" s="267">
        <f>H79*N79</f>
        <v>687.0269377700025</v>
      </c>
      <c r="P79" s="268"/>
      <c r="Q79" s="269">
        <f>R9</f>
        <v>0.08396408297333001</v>
      </c>
      <c r="R79" s="267">
        <f>H79*Q79</f>
        <v>62.97306222999751</v>
      </c>
      <c r="S79" s="268"/>
      <c r="T79" s="269">
        <v>0</v>
      </c>
      <c r="U79" s="267">
        <f>H79*T79</f>
        <v>0</v>
      </c>
      <c r="V79" s="270"/>
    </row>
    <row r="80" spans="1:22" s="244" customFormat="1" ht="32.25" thickBot="1">
      <c r="A80" s="234"/>
      <c r="B80" s="241"/>
      <c r="C80" s="242"/>
      <c r="D80" s="235" t="s">
        <v>171</v>
      </c>
      <c r="E80" s="494">
        <f>F80*3</f>
        <v>1500</v>
      </c>
      <c r="F80" s="487">
        <v>500</v>
      </c>
      <c r="G80" s="483">
        <f>H80*9</f>
        <v>4500</v>
      </c>
      <c r="H80" s="487">
        <v>500</v>
      </c>
      <c r="I80" s="483"/>
      <c r="J80" s="485">
        <f t="shared" si="14"/>
        <v>6000</v>
      </c>
      <c r="K80" s="483"/>
      <c r="L80" s="484">
        <v>1215</v>
      </c>
      <c r="M80" s="578">
        <f t="shared" si="15"/>
        <v>-4785</v>
      </c>
      <c r="N80" s="404">
        <v>0.8002</v>
      </c>
      <c r="O80" s="230">
        <f>H80*N80</f>
        <v>400.1</v>
      </c>
      <c r="P80" s="231"/>
      <c r="Q80" s="232">
        <v>0.0734</v>
      </c>
      <c r="R80" s="230">
        <f>H80*Q80</f>
        <v>36.7</v>
      </c>
      <c r="S80" s="231"/>
      <c r="T80" s="232">
        <v>0.1264</v>
      </c>
      <c r="U80" s="230">
        <f>H80*T80</f>
        <v>63.2</v>
      </c>
      <c r="V80" s="233"/>
    </row>
    <row r="81" spans="1:22" s="244" customFormat="1" ht="32.25" thickBot="1">
      <c r="A81" s="234"/>
      <c r="B81" s="241"/>
      <c r="C81" s="242"/>
      <c r="D81" s="252" t="s">
        <v>172</v>
      </c>
      <c r="E81" s="496">
        <f>F81*3</f>
        <v>1500</v>
      </c>
      <c r="F81" s="519">
        <v>500</v>
      </c>
      <c r="G81" s="498">
        <f>H81*9</f>
        <v>4500</v>
      </c>
      <c r="H81" s="519">
        <v>500</v>
      </c>
      <c r="I81" s="498"/>
      <c r="J81" s="499">
        <f t="shared" si="14"/>
        <v>6000</v>
      </c>
      <c r="K81" s="498"/>
      <c r="L81" s="497">
        <f>1800+5142.9</f>
        <v>6942.9</v>
      </c>
      <c r="M81" s="579">
        <f t="shared" si="15"/>
        <v>942.8999999999996</v>
      </c>
      <c r="N81" s="404">
        <v>0.8002</v>
      </c>
      <c r="O81" s="230">
        <f>H81*N81</f>
        <v>400.1</v>
      </c>
      <c r="P81" s="231"/>
      <c r="Q81" s="232">
        <v>0.0734</v>
      </c>
      <c r="R81" s="230">
        <f>H81*Q81</f>
        <v>36.7</v>
      </c>
      <c r="S81" s="231"/>
      <c r="T81" s="232">
        <v>0.1264</v>
      </c>
      <c r="U81" s="230">
        <f>H81*T81</f>
        <v>63.2</v>
      </c>
      <c r="V81" s="233"/>
    </row>
    <row r="82" spans="1:22" ht="19.5" thickBot="1">
      <c r="A82" s="477"/>
      <c r="B82" s="478"/>
      <c r="C82" s="479">
        <v>4</v>
      </c>
      <c r="D82" s="542" t="s">
        <v>90</v>
      </c>
      <c r="E82" s="543">
        <f>SUM(E83:E85)</f>
        <v>3000</v>
      </c>
      <c r="F82" s="544">
        <f>F83+F84+F85</f>
        <v>1000</v>
      </c>
      <c r="G82" s="543">
        <f>SUM(G83:G85)</f>
        <v>15750</v>
      </c>
      <c r="H82" s="544">
        <f>H83+H84+H85</f>
        <v>1750</v>
      </c>
      <c r="I82" s="543"/>
      <c r="J82" s="507">
        <f t="shared" si="14"/>
        <v>18750</v>
      </c>
      <c r="K82" s="540"/>
      <c r="L82" s="545">
        <f>L83+L84+L85</f>
        <v>13000</v>
      </c>
      <c r="M82" s="507">
        <f t="shared" si="15"/>
        <v>-5750</v>
      </c>
      <c r="N82" s="277"/>
      <c r="O82" s="67">
        <f>O83+O84+O85</f>
        <v>1400.35</v>
      </c>
      <c r="P82" s="279"/>
      <c r="Q82" s="278"/>
      <c r="R82" s="67">
        <f>R83+R84+R85</f>
        <v>128.45000000000002</v>
      </c>
      <c r="S82" s="280"/>
      <c r="T82" s="281"/>
      <c r="U82" s="67">
        <f>U83+U84+U85</f>
        <v>221.20000000000002</v>
      </c>
      <c r="V82" s="282"/>
    </row>
    <row r="83" spans="1:22" s="143" customFormat="1" ht="19.5" thickBot="1">
      <c r="A83" s="480"/>
      <c r="B83" s="481"/>
      <c r="C83" s="482"/>
      <c r="D83" s="536" t="s">
        <v>97</v>
      </c>
      <c r="E83" s="489">
        <f>F83*3</f>
        <v>1500</v>
      </c>
      <c r="F83" s="490">
        <v>500</v>
      </c>
      <c r="G83" s="491">
        <f>H83*9</f>
        <v>4500</v>
      </c>
      <c r="H83" s="490">
        <v>500</v>
      </c>
      <c r="I83" s="491"/>
      <c r="J83" s="492">
        <f t="shared" si="14"/>
        <v>6000</v>
      </c>
      <c r="K83" s="491"/>
      <c r="L83" s="490">
        <v>3000</v>
      </c>
      <c r="M83" s="577">
        <f t="shared" si="15"/>
        <v>-3000</v>
      </c>
      <c r="N83" s="404">
        <v>0.8002</v>
      </c>
      <c r="O83" s="230">
        <f>H83*N83</f>
        <v>400.1</v>
      </c>
      <c r="P83" s="231"/>
      <c r="Q83" s="232">
        <v>0.0734</v>
      </c>
      <c r="R83" s="230">
        <f>H83*Q83</f>
        <v>36.7</v>
      </c>
      <c r="S83" s="231"/>
      <c r="T83" s="232">
        <v>0.1264</v>
      </c>
      <c r="U83" s="230">
        <f>H83*T83</f>
        <v>63.2</v>
      </c>
      <c r="V83" s="233"/>
    </row>
    <row r="84" spans="1:22" s="143" customFormat="1" ht="19.5" thickBot="1">
      <c r="A84" s="283"/>
      <c r="B84" s="174"/>
      <c r="C84" s="402"/>
      <c r="D84" s="537" t="s">
        <v>72</v>
      </c>
      <c r="E84" s="494">
        <f>F84*3</f>
        <v>1500</v>
      </c>
      <c r="F84" s="484">
        <v>500</v>
      </c>
      <c r="G84" s="483">
        <f>H84*9</f>
        <v>4500</v>
      </c>
      <c r="H84" s="484">
        <v>500</v>
      </c>
      <c r="I84" s="483"/>
      <c r="J84" s="485">
        <f t="shared" si="14"/>
        <v>6000</v>
      </c>
      <c r="K84" s="483"/>
      <c r="L84" s="484">
        <v>0</v>
      </c>
      <c r="M84" s="578">
        <f t="shared" si="15"/>
        <v>-6000</v>
      </c>
      <c r="N84" s="404">
        <v>0.8002</v>
      </c>
      <c r="O84" s="230">
        <f>H84*N84</f>
        <v>400.1</v>
      </c>
      <c r="P84" s="231"/>
      <c r="Q84" s="232">
        <v>0.0734</v>
      </c>
      <c r="R84" s="230">
        <f>H84*Q84</f>
        <v>36.7</v>
      </c>
      <c r="S84" s="231"/>
      <c r="T84" s="232">
        <v>0.1264</v>
      </c>
      <c r="U84" s="230">
        <f>H84*T84</f>
        <v>63.2</v>
      </c>
      <c r="V84" s="233"/>
    </row>
    <row r="85" spans="1:22" s="143" customFormat="1" ht="19.5" thickBot="1">
      <c r="A85" s="283"/>
      <c r="B85" s="174"/>
      <c r="C85" s="402"/>
      <c r="D85" s="538" t="s">
        <v>91</v>
      </c>
      <c r="E85" s="496">
        <f>F85*3</f>
        <v>0</v>
      </c>
      <c r="F85" s="497">
        <v>0</v>
      </c>
      <c r="G85" s="498">
        <f>H85*9</f>
        <v>6750</v>
      </c>
      <c r="H85" s="497">
        <v>750</v>
      </c>
      <c r="I85" s="498"/>
      <c r="J85" s="499">
        <f t="shared" si="14"/>
        <v>6750</v>
      </c>
      <c r="K85" s="498"/>
      <c r="L85" s="497">
        <v>10000</v>
      </c>
      <c r="M85" s="579">
        <f t="shared" si="15"/>
        <v>3250</v>
      </c>
      <c r="N85" s="404">
        <v>0.8002</v>
      </c>
      <c r="O85" s="230">
        <f>H85*N85</f>
        <v>600.15</v>
      </c>
      <c r="P85" s="231"/>
      <c r="Q85" s="232">
        <v>0.0734</v>
      </c>
      <c r="R85" s="230">
        <f>H85*Q85</f>
        <v>55.050000000000004</v>
      </c>
      <c r="S85" s="231"/>
      <c r="T85" s="232">
        <v>0.1264</v>
      </c>
      <c r="U85" s="230">
        <f>H85*T85</f>
        <v>94.80000000000001</v>
      </c>
      <c r="V85" s="233"/>
    </row>
    <row r="86" spans="1:22" s="284" customFormat="1" ht="21" customHeight="1" thickBot="1">
      <c r="A86" s="439"/>
      <c r="B86" s="440"/>
      <c r="C86" s="440"/>
      <c r="D86" s="440"/>
      <c r="E86" s="440"/>
      <c r="F86" s="440"/>
      <c r="G86" s="440"/>
      <c r="H86" s="440"/>
      <c r="I86" s="440"/>
      <c r="J86" s="440"/>
      <c r="K86" s="440"/>
      <c r="L86" s="440"/>
      <c r="M86" s="440"/>
      <c r="N86" s="440"/>
      <c r="O86" s="440"/>
      <c r="P86" s="440"/>
      <c r="Q86" s="440"/>
      <c r="R86" s="440"/>
      <c r="S86" s="440"/>
      <c r="T86" s="440"/>
      <c r="U86" s="440"/>
      <c r="V86" s="441"/>
    </row>
    <row r="87" spans="1:22" ht="35.25" customHeight="1" thickBot="1">
      <c r="A87" s="285">
        <v>1</v>
      </c>
      <c r="B87" s="286">
        <v>4</v>
      </c>
      <c r="C87" s="287"/>
      <c r="D87" s="288" t="s">
        <v>73</v>
      </c>
      <c r="E87" s="94">
        <f>F87*3</f>
        <v>27855</v>
      </c>
      <c r="F87" s="419">
        <v>9285</v>
      </c>
      <c r="G87" s="94">
        <f>H87*9</f>
        <v>83566.8</v>
      </c>
      <c r="H87" s="419">
        <f>O87+R87</f>
        <v>9285.2</v>
      </c>
      <c r="I87" s="94"/>
      <c r="J87" s="213">
        <f>E87+G87</f>
        <v>111421.8</v>
      </c>
      <c r="K87" s="101"/>
      <c r="L87" s="432">
        <f>9181.16*12</f>
        <v>110173.92</v>
      </c>
      <c r="M87" s="431">
        <f>L87-J87</f>
        <v>-1247.8800000000047</v>
      </c>
      <c r="N87" s="289" t="s">
        <v>16</v>
      </c>
      <c r="O87" s="290">
        <v>4665.99</v>
      </c>
      <c r="P87" s="397">
        <f>O87/O7</f>
        <v>0.45464634752360444</v>
      </c>
      <c r="Q87" s="292" t="s">
        <v>16</v>
      </c>
      <c r="R87" s="293">
        <v>4619.21</v>
      </c>
      <c r="S87" s="291">
        <f>R87/R7</f>
        <v>4.910396513234825</v>
      </c>
      <c r="T87" s="294"/>
      <c r="U87" s="295"/>
      <c r="V87" s="296"/>
    </row>
    <row r="88" spans="1:22" ht="21.75" customHeight="1" thickBot="1">
      <c r="A88" s="446"/>
      <c r="B88" s="447"/>
      <c r="C88" s="447"/>
      <c r="D88" s="447"/>
      <c r="E88" s="447"/>
      <c r="F88" s="447"/>
      <c r="G88" s="447"/>
      <c r="H88" s="447"/>
      <c r="I88" s="447"/>
      <c r="J88" s="447"/>
      <c r="K88" s="447"/>
      <c r="L88" s="447"/>
      <c r="M88" s="447"/>
      <c r="N88" s="447"/>
      <c r="O88" s="447"/>
      <c r="P88" s="447"/>
      <c r="Q88" s="447"/>
      <c r="R88" s="447"/>
      <c r="S88" s="447"/>
      <c r="T88" s="447"/>
      <c r="U88" s="447"/>
      <c r="V88" s="448"/>
    </row>
    <row r="89" spans="1:22" s="112" customFormat="1" ht="32.25" thickBot="1">
      <c r="A89" s="83">
        <v>1</v>
      </c>
      <c r="B89" s="297">
        <v>5</v>
      </c>
      <c r="C89" s="298"/>
      <c r="D89" s="66" t="s">
        <v>88</v>
      </c>
      <c r="E89" s="94">
        <f>F89*3</f>
        <v>64632</v>
      </c>
      <c r="F89" s="400">
        <v>21544</v>
      </c>
      <c r="G89" s="94">
        <f>H89*9</f>
        <v>205533.99</v>
      </c>
      <c r="H89" s="400">
        <v>22837.11</v>
      </c>
      <c r="I89" s="94"/>
      <c r="J89" s="213">
        <f>E89+G89</f>
        <v>270165.99</v>
      </c>
      <c r="K89" s="101"/>
      <c r="L89" s="400">
        <f>21544.44*12</f>
        <v>258533.27999999997</v>
      </c>
      <c r="M89" s="431">
        <f>L89-J89</f>
        <v>-11632.710000000021</v>
      </c>
      <c r="N89" s="299">
        <v>1</v>
      </c>
      <c r="O89" s="300">
        <f>H89</f>
        <v>22837.11</v>
      </c>
      <c r="P89" s="301">
        <f>O89/O7</f>
        <v>2.2252102232312505</v>
      </c>
      <c r="Q89" s="302"/>
      <c r="R89" s="303"/>
      <c r="S89" s="304"/>
      <c r="T89" s="305"/>
      <c r="U89" s="306"/>
      <c r="V89" s="307"/>
    </row>
    <row r="90" spans="1:22" s="284" customFormat="1" ht="19.5" customHeight="1" thickBot="1">
      <c r="A90" s="433"/>
      <c r="B90" s="434"/>
      <c r="C90" s="434"/>
      <c r="D90" s="434"/>
      <c r="E90" s="434"/>
      <c r="F90" s="434"/>
      <c r="G90" s="434"/>
      <c r="H90" s="434"/>
      <c r="I90" s="434"/>
      <c r="J90" s="434"/>
      <c r="K90" s="434"/>
      <c r="L90" s="434"/>
      <c r="M90" s="434"/>
      <c r="N90" s="434"/>
      <c r="O90" s="434"/>
      <c r="P90" s="434"/>
      <c r="Q90" s="434"/>
      <c r="R90" s="434"/>
      <c r="S90" s="434"/>
      <c r="T90" s="434"/>
      <c r="U90" s="434"/>
      <c r="V90" s="435"/>
    </row>
    <row r="91" spans="1:22" s="284" customFormat="1" ht="18.75" customHeight="1" thickBot="1">
      <c r="A91" s="436"/>
      <c r="B91" s="437"/>
      <c r="C91" s="437"/>
      <c r="D91" s="437"/>
      <c r="E91" s="437"/>
      <c r="F91" s="437"/>
      <c r="G91" s="437"/>
      <c r="H91" s="437"/>
      <c r="I91" s="437"/>
      <c r="J91" s="437"/>
      <c r="K91" s="437"/>
      <c r="L91" s="437"/>
      <c r="M91" s="437"/>
      <c r="N91" s="437"/>
      <c r="O91" s="437"/>
      <c r="P91" s="437"/>
      <c r="Q91" s="437"/>
      <c r="R91" s="437"/>
      <c r="S91" s="437"/>
      <c r="T91" s="437"/>
      <c r="U91" s="437"/>
      <c r="V91" s="438"/>
    </row>
    <row r="92" spans="1:24" ht="21" thickBot="1">
      <c r="A92" s="308">
        <v>1</v>
      </c>
      <c r="B92" s="309">
        <v>6</v>
      </c>
      <c r="C92" s="310"/>
      <c r="D92" s="574" t="s">
        <v>74</v>
      </c>
      <c r="E92" s="575">
        <f>SUM(E95,E99,E100,E94,E93)</f>
        <v>458885.1</v>
      </c>
      <c r="F92" s="575">
        <f>SUM(F95,F99,F100,F94,F93)</f>
        <v>152961.7</v>
      </c>
      <c r="G92" s="575">
        <f>SUM(G95,G99,G100,G94,G93)</f>
        <v>1381155.3</v>
      </c>
      <c r="H92" s="575">
        <f>SUM(H95,H99,H100,H94,H93)</f>
        <v>153461.7</v>
      </c>
      <c r="I92" s="575"/>
      <c r="J92" s="576">
        <f aca="true" t="shared" si="16" ref="J92:J102">E92+G92</f>
        <v>1840040.4</v>
      </c>
      <c r="K92" s="575"/>
      <c r="L92" s="575">
        <f>SUM(L95,L99,L100,L94,L93)</f>
        <v>1774620</v>
      </c>
      <c r="M92" s="591">
        <f aca="true" t="shared" si="17" ref="M92:M102">L92-J92</f>
        <v>-65420.39999999991</v>
      </c>
      <c r="N92" s="312"/>
      <c r="O92" s="311">
        <f>SUM(O95,O99,O100,O94,O93)</f>
        <v>106234.99481341711</v>
      </c>
      <c r="P92" s="313"/>
      <c r="Q92" s="314"/>
      <c r="R92" s="311">
        <f>SUM(R95,R99,R100,R94,R93)</f>
        <v>34898.11318658289</v>
      </c>
      <c r="S92" s="315"/>
      <c r="T92" s="316"/>
      <c r="U92" s="311">
        <f>SUM(U95,U99,U100,U94,U93)</f>
        <v>12328.592</v>
      </c>
      <c r="V92" s="317"/>
      <c r="W92" s="318"/>
      <c r="X92" s="318"/>
    </row>
    <row r="93" spans="1:22" s="244" customFormat="1" ht="65.25" customHeight="1" thickBot="1">
      <c r="A93" s="319"/>
      <c r="B93" s="320"/>
      <c r="C93" s="321">
        <v>1</v>
      </c>
      <c r="D93" s="322" t="s">
        <v>75</v>
      </c>
      <c r="E93" s="489">
        <f>F93*3</f>
        <v>33545.100000000006</v>
      </c>
      <c r="F93" s="510">
        <v>11181.7</v>
      </c>
      <c r="G93" s="491">
        <f aca="true" t="shared" si="18" ref="G93:G102">H93*9</f>
        <v>100635.3</v>
      </c>
      <c r="H93" s="510">
        <v>11181.7</v>
      </c>
      <c r="I93" s="491"/>
      <c r="J93" s="492">
        <f t="shared" si="16"/>
        <v>134180.40000000002</v>
      </c>
      <c r="K93" s="491"/>
      <c r="L93" s="510">
        <f>31320+28800+33480</f>
        <v>93600</v>
      </c>
      <c r="M93" s="577">
        <f t="shared" si="17"/>
        <v>-40580.40000000002</v>
      </c>
      <c r="N93" s="420" t="s">
        <v>76</v>
      </c>
      <c r="O93" s="324">
        <f>H93*O9</f>
        <v>10242.838813417116</v>
      </c>
      <c r="P93" s="325" t="s">
        <v>77</v>
      </c>
      <c r="Q93" s="323" t="s">
        <v>76</v>
      </c>
      <c r="R93" s="326">
        <f>H93*R9</f>
        <v>938.8611865828842</v>
      </c>
      <c r="S93" s="325" t="s">
        <v>77</v>
      </c>
      <c r="T93" s="327"/>
      <c r="U93" s="326">
        <v>0</v>
      </c>
      <c r="V93" s="328"/>
    </row>
    <row r="94" spans="1:22" ht="32.25" thickBot="1">
      <c r="A94" s="329"/>
      <c r="B94" s="330"/>
      <c r="C94" s="331">
        <v>2</v>
      </c>
      <c r="D94" s="332" t="s">
        <v>78</v>
      </c>
      <c r="E94" s="494">
        <f>F94*3</f>
        <v>2100</v>
      </c>
      <c r="F94" s="487">
        <v>700</v>
      </c>
      <c r="G94" s="483">
        <f t="shared" si="18"/>
        <v>6300</v>
      </c>
      <c r="H94" s="487">
        <v>700</v>
      </c>
      <c r="I94" s="483"/>
      <c r="J94" s="485">
        <f t="shared" si="16"/>
        <v>8400</v>
      </c>
      <c r="K94" s="483"/>
      <c r="L94" s="484">
        <v>7000</v>
      </c>
      <c r="M94" s="578">
        <f t="shared" si="17"/>
        <v>-1400</v>
      </c>
      <c r="N94" s="404">
        <v>0.8002</v>
      </c>
      <c r="O94" s="230">
        <f>H94*N94</f>
        <v>560.14</v>
      </c>
      <c r="P94" s="231">
        <f>O94/O7</f>
        <v>0.05457911506494266</v>
      </c>
      <c r="Q94" s="232">
        <v>0.0734</v>
      </c>
      <c r="R94" s="230">
        <f>H94*Q94</f>
        <v>51.38</v>
      </c>
      <c r="S94" s="231">
        <f>R94/R7</f>
        <v>0.05461890081853939</v>
      </c>
      <c r="T94" s="232">
        <v>0.1264</v>
      </c>
      <c r="U94" s="230">
        <f>H94*T94</f>
        <v>88.48</v>
      </c>
      <c r="V94" s="233">
        <f>U94/U7</f>
        <v>0.05458055999358457</v>
      </c>
    </row>
    <row r="95" spans="1:24" ht="32.25" thickBot="1">
      <c r="A95" s="333"/>
      <c r="B95" s="334"/>
      <c r="C95" s="335">
        <v>3</v>
      </c>
      <c r="D95" s="336" t="s">
        <v>98</v>
      </c>
      <c r="E95" s="573">
        <f>E96+E97+E98</f>
        <v>60120</v>
      </c>
      <c r="F95" s="487">
        <f>F96+F97+F98</f>
        <v>20040</v>
      </c>
      <c r="G95" s="483">
        <f t="shared" si="18"/>
        <v>180360</v>
      </c>
      <c r="H95" s="487">
        <f>H96+H97+H98</f>
        <v>20040</v>
      </c>
      <c r="I95" s="483"/>
      <c r="J95" s="485">
        <f t="shared" si="16"/>
        <v>240480</v>
      </c>
      <c r="K95" s="483"/>
      <c r="L95" s="487">
        <f>L96+L97+L98</f>
        <v>240480</v>
      </c>
      <c r="M95" s="578">
        <f t="shared" si="17"/>
        <v>0</v>
      </c>
      <c r="N95" s="58"/>
      <c r="O95" s="337">
        <f>O96+O98</f>
        <v>13588.308</v>
      </c>
      <c r="P95" s="338"/>
      <c r="Q95" s="339"/>
      <c r="R95" s="337">
        <f>R96+R98</f>
        <v>1611.036</v>
      </c>
      <c r="S95" s="338"/>
      <c r="T95" s="339"/>
      <c r="U95" s="337">
        <f>U96+U97+U98</f>
        <v>4840.656</v>
      </c>
      <c r="V95" s="340"/>
      <c r="W95" s="318"/>
      <c r="X95" s="318"/>
    </row>
    <row r="96" spans="1:22" s="244" customFormat="1" ht="18.75">
      <c r="A96" s="319"/>
      <c r="B96" s="320"/>
      <c r="C96" s="321"/>
      <c r="D96" s="341" t="s">
        <v>79</v>
      </c>
      <c r="E96" s="494">
        <f aca="true" t="shared" si="19" ref="E96:E102">F96*3</f>
        <v>13500</v>
      </c>
      <c r="F96" s="484">
        <v>4500</v>
      </c>
      <c r="G96" s="486">
        <f t="shared" si="18"/>
        <v>40500</v>
      </c>
      <c r="H96" s="484">
        <v>4500</v>
      </c>
      <c r="I96" s="486"/>
      <c r="J96" s="485">
        <f t="shared" si="16"/>
        <v>54000</v>
      </c>
      <c r="K96" s="483"/>
      <c r="L96" s="484">
        <v>54000</v>
      </c>
      <c r="M96" s="578">
        <f t="shared" si="17"/>
        <v>0</v>
      </c>
      <c r="N96" s="421">
        <v>0.523</v>
      </c>
      <c r="O96" s="140">
        <f>H96*N96</f>
        <v>2353.5</v>
      </c>
      <c r="P96" s="342">
        <f>O96/O7</f>
        <v>0.22932114704420778</v>
      </c>
      <c r="Q96" s="139">
        <v>0.129</v>
      </c>
      <c r="R96" s="140">
        <f>H96*Q96</f>
        <v>580.5</v>
      </c>
      <c r="S96" s="342">
        <f>R96/R7</f>
        <v>0.6170936536621664</v>
      </c>
      <c r="T96" s="139">
        <v>0.348</v>
      </c>
      <c r="U96" s="140">
        <f>H96*T96</f>
        <v>1566</v>
      </c>
      <c r="V96" s="398">
        <f>U96/U7</f>
        <v>0.9660166924723489</v>
      </c>
    </row>
    <row r="97" spans="1:22" s="244" customFormat="1" ht="19.5" thickBot="1">
      <c r="A97" s="343"/>
      <c r="B97" s="344"/>
      <c r="C97" s="345"/>
      <c r="D97" s="346" t="s">
        <v>80</v>
      </c>
      <c r="E97" s="494">
        <f t="shared" si="19"/>
        <v>4500</v>
      </c>
      <c r="F97" s="484">
        <v>1500</v>
      </c>
      <c r="G97" s="486">
        <f t="shared" si="18"/>
        <v>13500</v>
      </c>
      <c r="H97" s="484">
        <v>1500</v>
      </c>
      <c r="I97" s="486"/>
      <c r="J97" s="485">
        <f t="shared" si="16"/>
        <v>18000</v>
      </c>
      <c r="K97" s="483"/>
      <c r="L97" s="484">
        <v>18000</v>
      </c>
      <c r="M97" s="578">
        <f t="shared" si="17"/>
        <v>0</v>
      </c>
      <c r="N97" s="148"/>
      <c r="O97" s="160"/>
      <c r="P97" s="347"/>
      <c r="Q97" s="159"/>
      <c r="R97" s="160"/>
      <c r="S97" s="347"/>
      <c r="T97" s="159">
        <v>1</v>
      </c>
      <c r="U97" s="160">
        <f>H97*T97</f>
        <v>1500</v>
      </c>
      <c r="V97" s="399">
        <f>U97/U7</f>
        <v>0.9253033452800277</v>
      </c>
    </row>
    <row r="98" spans="1:22" s="244" customFormat="1" ht="41.25" customHeight="1" thickBot="1">
      <c r="A98" s="343"/>
      <c r="B98" s="344"/>
      <c r="C98" s="345"/>
      <c r="D98" s="348" t="s">
        <v>81</v>
      </c>
      <c r="E98" s="494">
        <f t="shared" si="19"/>
        <v>42120</v>
      </c>
      <c r="F98" s="484">
        <v>14040</v>
      </c>
      <c r="G98" s="486">
        <f t="shared" si="18"/>
        <v>126360</v>
      </c>
      <c r="H98" s="484">
        <v>14040</v>
      </c>
      <c r="I98" s="486"/>
      <c r="J98" s="485">
        <f t="shared" si="16"/>
        <v>168480</v>
      </c>
      <c r="K98" s="483"/>
      <c r="L98" s="484">
        <v>168480</v>
      </c>
      <c r="M98" s="578">
        <f t="shared" si="17"/>
        <v>0</v>
      </c>
      <c r="N98" s="404">
        <v>0.8002</v>
      </c>
      <c r="O98" s="230">
        <f>H98*N98</f>
        <v>11234.808</v>
      </c>
      <c r="P98" s="231">
        <v>1.1</v>
      </c>
      <c r="Q98" s="232">
        <v>0.0734</v>
      </c>
      <c r="R98" s="230">
        <f>H98*Q98</f>
        <v>1030.536</v>
      </c>
      <c r="S98" s="231">
        <f>R98/R7</f>
        <v>1.0954990964175615</v>
      </c>
      <c r="T98" s="232">
        <v>0.1264</v>
      </c>
      <c r="U98" s="230">
        <f>H98*T98</f>
        <v>1774.6560000000002</v>
      </c>
      <c r="V98" s="233">
        <v>1.1</v>
      </c>
    </row>
    <row r="99" spans="1:22" s="244" customFormat="1" ht="48.75" customHeight="1" thickBot="1">
      <c r="A99" s="343"/>
      <c r="B99" s="344"/>
      <c r="C99" s="345">
        <v>4</v>
      </c>
      <c r="D99" s="349" t="s">
        <v>82</v>
      </c>
      <c r="E99" s="494">
        <f t="shared" si="19"/>
        <v>6000</v>
      </c>
      <c r="F99" s="572">
        <v>2000</v>
      </c>
      <c r="G99" s="483">
        <f t="shared" si="18"/>
        <v>22500</v>
      </c>
      <c r="H99" s="572">
        <v>2500</v>
      </c>
      <c r="I99" s="483"/>
      <c r="J99" s="485">
        <f t="shared" si="16"/>
        <v>28500</v>
      </c>
      <c r="K99" s="483"/>
      <c r="L99" s="572">
        <f>19900+8200</f>
        <v>28100</v>
      </c>
      <c r="M99" s="578">
        <f t="shared" si="17"/>
        <v>-400</v>
      </c>
      <c r="N99" s="404">
        <v>0.8002</v>
      </c>
      <c r="O99" s="230">
        <f>H99*N99</f>
        <v>2000.5</v>
      </c>
      <c r="P99" s="231">
        <f>O99/O7</f>
        <v>0.1949254109462238</v>
      </c>
      <c r="Q99" s="232">
        <v>0.0734</v>
      </c>
      <c r="R99" s="230">
        <f>H99*Q99</f>
        <v>183.50000000000003</v>
      </c>
      <c r="S99" s="231">
        <v>0.19</v>
      </c>
      <c r="T99" s="232">
        <v>0.1264</v>
      </c>
      <c r="U99" s="230">
        <f>H99*T99</f>
        <v>316.00000000000006</v>
      </c>
      <c r="V99" s="233">
        <f>U99/U7</f>
        <v>0.1949305714056592</v>
      </c>
    </row>
    <row r="100" spans="1:22" ht="19.5" thickBot="1">
      <c r="A100" s="343"/>
      <c r="B100" s="350"/>
      <c r="C100" s="351">
        <v>5</v>
      </c>
      <c r="D100" s="352" t="s">
        <v>87</v>
      </c>
      <c r="E100" s="494">
        <f t="shared" si="19"/>
        <v>357120</v>
      </c>
      <c r="F100" s="487">
        <f>80*2*24*31</f>
        <v>119040</v>
      </c>
      <c r="G100" s="483">
        <f>H100*9</f>
        <v>1071360</v>
      </c>
      <c r="H100" s="487">
        <f>80*2*24*31</f>
        <v>119040</v>
      </c>
      <c r="I100" s="483"/>
      <c r="J100" s="485">
        <f t="shared" si="16"/>
        <v>1428480</v>
      </c>
      <c r="K100" s="483"/>
      <c r="L100" s="487">
        <v>1405440</v>
      </c>
      <c r="M100" s="578">
        <f t="shared" si="17"/>
        <v>-23040</v>
      </c>
      <c r="N100" s="422"/>
      <c r="O100" s="353">
        <f>O101+O102</f>
        <v>79843.208</v>
      </c>
      <c r="P100" s="354"/>
      <c r="Q100" s="355"/>
      <c r="R100" s="353">
        <f>R101+R102</f>
        <v>32113.336</v>
      </c>
      <c r="S100" s="354"/>
      <c r="T100" s="356"/>
      <c r="U100" s="353">
        <f>U101+U102</f>
        <v>7083.456000000001</v>
      </c>
      <c r="V100" s="62"/>
    </row>
    <row r="101" spans="1:22" ht="36.75" customHeight="1" thickBot="1">
      <c r="A101" s="343"/>
      <c r="B101" s="350"/>
      <c r="C101" s="351"/>
      <c r="D101" s="357" t="s">
        <v>83</v>
      </c>
      <c r="E101" s="673">
        <f t="shared" si="19"/>
        <v>168120</v>
      </c>
      <c r="F101" s="671">
        <v>56040</v>
      </c>
      <c r="G101" s="674">
        <f t="shared" si="18"/>
        <v>504360</v>
      </c>
      <c r="H101" s="671">
        <v>56040</v>
      </c>
      <c r="I101" s="483"/>
      <c r="J101" s="485">
        <f t="shared" si="16"/>
        <v>672480</v>
      </c>
      <c r="K101" s="483"/>
      <c r="L101" s="484">
        <v>672445</v>
      </c>
      <c r="M101" s="578">
        <f t="shared" si="17"/>
        <v>-35</v>
      </c>
      <c r="N101" s="404">
        <v>0.8002</v>
      </c>
      <c r="O101" s="230">
        <f>H101*N101</f>
        <v>44843.208</v>
      </c>
      <c r="P101" s="231">
        <f>O101/O7</f>
        <v>4.369448011770552</v>
      </c>
      <c r="Q101" s="232">
        <v>0.0734</v>
      </c>
      <c r="R101" s="230">
        <f>H101*Q101</f>
        <v>4113.336</v>
      </c>
      <c r="S101" s="231">
        <f>R101/R7</f>
        <v>4.3726331455299245</v>
      </c>
      <c r="T101" s="232">
        <v>0.1264</v>
      </c>
      <c r="U101" s="230">
        <f>H101*T101</f>
        <v>7083.456000000001</v>
      </c>
      <c r="V101" s="233">
        <f>U101/U7</f>
        <v>4.369563688629256</v>
      </c>
    </row>
    <row r="102" spans="1:22" ht="37.5" customHeight="1" thickBot="1">
      <c r="A102" s="333"/>
      <c r="B102" s="334"/>
      <c r="C102" s="335"/>
      <c r="D102" s="549" t="s">
        <v>89</v>
      </c>
      <c r="E102" s="675">
        <f t="shared" si="19"/>
        <v>189000</v>
      </c>
      <c r="F102" s="672">
        <v>63000</v>
      </c>
      <c r="G102" s="676">
        <f t="shared" si="18"/>
        <v>567000</v>
      </c>
      <c r="H102" s="672">
        <v>63000</v>
      </c>
      <c r="I102" s="498"/>
      <c r="J102" s="499">
        <f t="shared" si="16"/>
        <v>756000</v>
      </c>
      <c r="K102" s="498"/>
      <c r="L102" s="497">
        <f>L100-L101</f>
        <v>732995</v>
      </c>
      <c r="M102" s="579">
        <f t="shared" si="17"/>
        <v>-23005</v>
      </c>
      <c r="N102" s="423" t="s">
        <v>84</v>
      </c>
      <c r="O102" s="359">
        <v>35000</v>
      </c>
      <c r="P102" s="360"/>
      <c r="Q102" s="358" t="s">
        <v>84</v>
      </c>
      <c r="R102" s="110">
        <v>28000</v>
      </c>
      <c r="S102" s="361"/>
      <c r="T102" s="96"/>
      <c r="U102" s="110">
        <v>0</v>
      </c>
      <c r="V102" s="62"/>
    </row>
    <row r="103" spans="1:22" s="105" customFormat="1" ht="16.5" thickBot="1">
      <c r="A103" s="362"/>
      <c r="B103" s="362"/>
      <c r="C103" s="362"/>
      <c r="D103" s="363"/>
      <c r="E103" s="117"/>
      <c r="F103" s="196"/>
      <c r="G103" s="117"/>
      <c r="H103" s="196"/>
      <c r="I103" s="117"/>
      <c r="J103" s="117"/>
      <c r="K103" s="117"/>
      <c r="L103" s="196"/>
      <c r="M103" s="196"/>
      <c r="N103" s="197"/>
      <c r="O103" s="364"/>
      <c r="P103" s="365"/>
      <c r="Q103" s="366"/>
      <c r="R103" s="364"/>
      <c r="S103" s="365"/>
      <c r="T103" s="366"/>
      <c r="U103" s="364"/>
      <c r="V103" s="198"/>
    </row>
    <row r="104" spans="1:22" s="105" customFormat="1" ht="38.25" customHeight="1" thickBot="1">
      <c r="A104" s="362"/>
      <c r="B104" s="436"/>
      <c r="C104" s="436"/>
      <c r="D104" s="944" t="s">
        <v>413</v>
      </c>
      <c r="E104" s="677"/>
      <c r="F104" s="678"/>
      <c r="G104" s="677"/>
      <c r="H104" s="678"/>
      <c r="I104" s="677"/>
      <c r="J104" s="677"/>
      <c r="K104" s="677"/>
      <c r="L104" s="678"/>
      <c r="M104" s="943">
        <f>M37+M92</f>
        <v>-29909.679220000282</v>
      </c>
      <c r="N104" s="197"/>
      <c r="O104" s="364"/>
      <c r="P104" s="367"/>
      <c r="Q104" s="366"/>
      <c r="R104" s="364"/>
      <c r="S104" s="367"/>
      <c r="T104" s="366"/>
      <c r="U104" s="364"/>
      <c r="V104" s="367"/>
    </row>
  </sheetData>
  <sheetProtection/>
  <mergeCells count="2">
    <mergeCell ref="N32:V32"/>
    <mergeCell ref="D3:H3"/>
  </mergeCells>
  <printOptions/>
  <pageMargins left="0.31" right="0.35" top="0.34" bottom="0.62" header="0.19" footer="0.27"/>
  <pageSetup fitToHeight="5" fitToWidth="1" horizontalDpi="600" verticalDpi="600" orientation="landscape" paperSize="9" scale="58" r:id="rId1"/>
</worksheet>
</file>

<file path=xl/worksheets/sheet6.xml><?xml version="1.0" encoding="utf-8"?>
<worksheet xmlns="http://schemas.openxmlformats.org/spreadsheetml/2006/main" xmlns:r="http://schemas.openxmlformats.org/officeDocument/2006/relationships">
  <dimension ref="A1:C39"/>
  <sheetViews>
    <sheetView zoomScalePageLayoutView="0" workbookViewId="0" topLeftCell="A22">
      <selection activeCell="E45" sqref="E45"/>
    </sheetView>
  </sheetViews>
  <sheetFormatPr defaultColWidth="5.875" defaultRowHeight="12.75"/>
  <cols>
    <col min="1" max="1" width="3.00390625" style="598" customWidth="1"/>
    <col min="2" max="2" width="64.75390625" style="598" customWidth="1"/>
    <col min="3" max="3" width="23.75390625" style="598" customWidth="1"/>
    <col min="4" max="16384" width="5.875" style="598" customWidth="1"/>
  </cols>
  <sheetData>
    <row r="1" spans="1:3" s="992" customFormat="1" ht="24" customHeight="1">
      <c r="A1" s="991"/>
      <c r="B1" s="1112" t="s">
        <v>0</v>
      </c>
      <c r="C1" s="1112"/>
    </row>
    <row r="2" spans="1:3" s="992" customFormat="1" ht="37.5" customHeight="1">
      <c r="A2" s="991"/>
      <c r="B2" s="1112" t="s">
        <v>1</v>
      </c>
      <c r="C2" s="1112"/>
    </row>
    <row r="3" spans="1:3" s="595" customFormat="1" ht="18" customHeight="1">
      <c r="A3" s="993"/>
      <c r="B3" s="1113" t="s">
        <v>419</v>
      </c>
      <c r="C3" s="1113"/>
    </row>
    <row r="4" spans="1:3" s="595" customFormat="1" ht="30" customHeight="1" thickBot="1">
      <c r="A4" s="993"/>
      <c r="B4" s="1113" t="s">
        <v>2</v>
      </c>
      <c r="C4" s="1113"/>
    </row>
    <row r="5" spans="2:3" s="1027" customFormat="1" ht="19.5" thickBot="1">
      <c r="B5" s="1108" t="s">
        <v>274</v>
      </c>
      <c r="C5" s="1109"/>
    </row>
    <row r="6" spans="2:3" s="567" customFormat="1" ht="15">
      <c r="B6" s="639" t="s">
        <v>263</v>
      </c>
      <c r="C6" s="994">
        <v>114466</v>
      </c>
    </row>
    <row r="7" spans="2:3" s="567" customFormat="1" ht="30">
      <c r="B7" s="1008" t="s">
        <v>264</v>
      </c>
      <c r="C7" s="995">
        <v>98794</v>
      </c>
    </row>
    <row r="8" spans="2:3" s="567" customFormat="1" ht="15">
      <c r="B8" s="640" t="s">
        <v>275</v>
      </c>
      <c r="C8" s="996">
        <f>38750+15480</f>
        <v>54230</v>
      </c>
    </row>
    <row r="9" spans="2:3" s="567" customFormat="1" ht="15.75" thickBot="1">
      <c r="B9" s="641" t="s">
        <v>262</v>
      </c>
      <c r="C9" s="997">
        <v>307792</v>
      </c>
    </row>
    <row r="10" spans="2:3" s="567" customFormat="1" ht="15.75" thickBot="1">
      <c r="B10" s="638" t="s">
        <v>257</v>
      </c>
      <c r="C10" s="1009">
        <f>SUM(C6:C9)</f>
        <v>575282</v>
      </c>
    </row>
    <row r="11" spans="2:3" s="567" customFormat="1" ht="15.75" thickBot="1">
      <c r="B11" s="642"/>
      <c r="C11" s="998" t="s">
        <v>258</v>
      </c>
    </row>
    <row r="12" spans="2:3" s="567" customFormat="1" ht="15">
      <c r="B12" s="637" t="s">
        <v>267</v>
      </c>
      <c r="C12" s="999">
        <v>24150</v>
      </c>
    </row>
    <row r="13" spans="2:3" s="567" customFormat="1" ht="15">
      <c r="B13" s="569" t="s">
        <v>268</v>
      </c>
      <c r="C13" s="1000">
        <v>14431</v>
      </c>
    </row>
    <row r="14" spans="2:3" s="567" customFormat="1" ht="15">
      <c r="B14" s="569" t="s">
        <v>276</v>
      </c>
      <c r="C14" s="1000">
        <v>12000</v>
      </c>
    </row>
    <row r="15" spans="2:3" s="567" customFormat="1" ht="15">
      <c r="B15" s="569" t="s">
        <v>265</v>
      </c>
      <c r="C15" s="1000">
        <v>68380</v>
      </c>
    </row>
    <row r="16" spans="2:3" s="567" customFormat="1" ht="15">
      <c r="B16" s="569" t="s">
        <v>266</v>
      </c>
      <c r="C16" s="1000">
        <v>87790</v>
      </c>
    </row>
    <row r="17" spans="2:3" s="567" customFormat="1" ht="30">
      <c r="B17" s="569" t="s">
        <v>414</v>
      </c>
      <c r="C17" s="1000">
        <v>246876.77</v>
      </c>
    </row>
    <row r="18" spans="2:3" s="567" customFormat="1" ht="15">
      <c r="B18" s="570" t="s">
        <v>178</v>
      </c>
      <c r="C18" s="1001">
        <v>17860</v>
      </c>
    </row>
    <row r="19" spans="2:3" s="567" customFormat="1" ht="15.75" thickBot="1">
      <c r="B19" s="571" t="s">
        <v>211</v>
      </c>
      <c r="C19" s="1002">
        <v>34320</v>
      </c>
    </row>
    <row r="20" spans="2:3" s="567" customFormat="1" ht="15.75" thickBot="1">
      <c r="B20" s="1010" t="s">
        <v>259</v>
      </c>
      <c r="C20" s="1011">
        <f>SUM(C12:C19)</f>
        <v>505807.77</v>
      </c>
    </row>
    <row r="21" spans="2:3" s="567" customFormat="1" ht="15.75" thickBot="1">
      <c r="B21" s="1012" t="s">
        <v>260</v>
      </c>
      <c r="C21" s="1013">
        <f>C10-C20</f>
        <v>69474.22999999998</v>
      </c>
    </row>
    <row r="22" spans="2:3" s="567" customFormat="1" ht="15.75" thickBot="1">
      <c r="B22" s="568"/>
      <c r="C22" s="658"/>
    </row>
    <row r="23" spans="1:3" s="1026" customFormat="1" ht="19.5" customHeight="1" thickBot="1">
      <c r="A23" s="1025"/>
      <c r="B23" s="1110" t="s">
        <v>299</v>
      </c>
      <c r="C23" s="1111"/>
    </row>
    <row r="24" spans="1:3" s="561" customFormat="1" ht="15.75" thickBot="1">
      <c r="A24" s="562"/>
      <c r="B24" s="564" t="s">
        <v>277</v>
      </c>
      <c r="C24" s="1014">
        <v>927110</v>
      </c>
    </row>
    <row r="25" spans="1:3" s="561" customFormat="1" ht="15.75" thickBot="1">
      <c r="A25" s="562"/>
      <c r="B25" s="659"/>
      <c r="C25" s="1015" t="s">
        <v>242</v>
      </c>
    </row>
    <row r="26" spans="1:3" s="561" customFormat="1" ht="30" customHeight="1">
      <c r="A26" s="562"/>
      <c r="B26" s="670" t="s">
        <v>293</v>
      </c>
      <c r="C26" s="1003">
        <v>732995</v>
      </c>
    </row>
    <row r="27" spans="2:3" s="567" customFormat="1" ht="30">
      <c r="B27" s="660" t="s">
        <v>415</v>
      </c>
      <c r="C27" s="995">
        <f>32920+4740</f>
        <v>37660</v>
      </c>
    </row>
    <row r="28" spans="2:3" s="567" customFormat="1" ht="15">
      <c r="B28" s="660" t="s">
        <v>140</v>
      </c>
      <c r="C28" s="995">
        <v>26500</v>
      </c>
    </row>
    <row r="29" spans="2:3" s="567" customFormat="1" ht="15">
      <c r="B29" s="660" t="s">
        <v>278</v>
      </c>
      <c r="C29" s="995">
        <v>20400</v>
      </c>
    </row>
    <row r="30" spans="2:3" s="567" customFormat="1" ht="60">
      <c r="B30" s="660" t="s">
        <v>416</v>
      </c>
      <c r="C30" s="995">
        <v>33250</v>
      </c>
    </row>
    <row r="31" spans="2:3" s="567" customFormat="1" ht="15">
      <c r="B31" s="566" t="s">
        <v>188</v>
      </c>
      <c r="C31" s="1004">
        <v>17675.8</v>
      </c>
    </row>
    <row r="32" spans="2:3" s="567" customFormat="1" ht="30.75" thickBot="1">
      <c r="B32" s="661" t="s">
        <v>225</v>
      </c>
      <c r="C32" s="873">
        <v>15000</v>
      </c>
    </row>
    <row r="33" spans="2:3" s="1016" customFormat="1" ht="15" thickBot="1">
      <c r="B33" s="1017" t="s">
        <v>279</v>
      </c>
      <c r="C33" s="1018">
        <f>SUM(C26:C32)</f>
        <v>883480.8</v>
      </c>
    </row>
    <row r="34" spans="1:3" s="561" customFormat="1" ht="15">
      <c r="A34" s="562"/>
      <c r="B34" s="662" t="s">
        <v>420</v>
      </c>
      <c r="C34" s="1005">
        <f>C24-C33</f>
        <v>43629.19999999995</v>
      </c>
    </row>
    <row r="35" spans="1:3" s="561" customFormat="1" ht="15.75" thickBot="1">
      <c r="A35" s="562"/>
      <c r="B35" s="636" t="s">
        <v>261</v>
      </c>
      <c r="C35" s="1006">
        <v>20000</v>
      </c>
    </row>
    <row r="36" spans="1:3" s="561" customFormat="1" ht="15.75" thickBot="1">
      <c r="A36" s="562"/>
      <c r="B36" s="1019" t="s">
        <v>281</v>
      </c>
      <c r="C36" s="1020">
        <f>C34-C35</f>
        <v>23629.199999999953</v>
      </c>
    </row>
    <row r="37" spans="1:3" s="561" customFormat="1" ht="15.75" thickBot="1">
      <c r="A37" s="562"/>
      <c r="B37" s="1021"/>
      <c r="C37" s="1022"/>
    </row>
    <row r="38" spans="1:3" s="872" customFormat="1" ht="15.75" thickBot="1">
      <c r="A38" s="871"/>
      <c r="B38" s="1023" t="s">
        <v>418</v>
      </c>
      <c r="C38" s="1024" t="s">
        <v>321</v>
      </c>
    </row>
    <row r="39" spans="1:3" s="567" customFormat="1" ht="45.75" thickBot="1">
      <c r="A39" s="945"/>
      <c r="B39" s="946" t="s">
        <v>417</v>
      </c>
      <c r="C39" s="1007">
        <v>31600</v>
      </c>
    </row>
  </sheetData>
  <sheetProtection/>
  <mergeCells count="6">
    <mergeCell ref="B5:C5"/>
    <mergeCell ref="B23:C23"/>
    <mergeCell ref="B1:C1"/>
    <mergeCell ref="B2:C2"/>
    <mergeCell ref="B3:C3"/>
    <mergeCell ref="B4:C4"/>
  </mergeCells>
  <printOptions/>
  <pageMargins left="0.59" right="0.44" top="0.33" bottom="0.31" header="0.1968503937007874" footer="0.2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69"/>
  <sheetViews>
    <sheetView zoomScalePageLayoutView="0" workbookViewId="0" topLeftCell="A10">
      <selection activeCell="B6" sqref="B6"/>
    </sheetView>
  </sheetViews>
  <sheetFormatPr defaultColWidth="9.00390625" defaultRowHeight="12.75"/>
  <cols>
    <col min="1" max="1" width="11.75390625" style="562" customWidth="1"/>
    <col min="2" max="2" width="31.375" style="563" customWidth="1"/>
    <col min="3" max="3" width="18.375" style="653" customWidth="1"/>
    <col min="4" max="4" width="13.00390625" style="654" customWidth="1"/>
    <col min="5" max="5" width="23.125" style="561" customWidth="1"/>
    <col min="6" max="16384" width="9.125" style="561" customWidth="1"/>
  </cols>
  <sheetData>
    <row r="1" spans="1:4" s="1026" customFormat="1" ht="38.25" customHeight="1" thickBot="1">
      <c r="A1" s="1025"/>
      <c r="B1" s="1106" t="s">
        <v>422</v>
      </c>
      <c r="C1" s="1106"/>
      <c r="D1" s="1030"/>
    </row>
    <row r="2" spans="1:5" s="554" customFormat="1" ht="15" thickBot="1">
      <c r="A2" s="551" t="s">
        <v>105</v>
      </c>
      <c r="B2" s="552"/>
      <c r="C2" s="644"/>
      <c r="D2" s="645" t="s">
        <v>102</v>
      </c>
      <c r="E2" s="553" t="s">
        <v>103</v>
      </c>
    </row>
    <row r="3" spans="1:5" s="554" customFormat="1" ht="15">
      <c r="A3" s="555">
        <v>40932</v>
      </c>
      <c r="B3" s="556" t="s">
        <v>196</v>
      </c>
      <c r="C3" s="646" t="s">
        <v>195</v>
      </c>
      <c r="D3" s="647">
        <v>500</v>
      </c>
      <c r="E3" s="557"/>
    </row>
    <row r="4" spans="1:5" ht="30">
      <c r="A4" s="558">
        <v>40932</v>
      </c>
      <c r="B4" s="559" t="s">
        <v>100</v>
      </c>
      <c r="C4" s="648" t="s">
        <v>101</v>
      </c>
      <c r="D4" s="649">
        <v>6790</v>
      </c>
      <c r="E4" s="560" t="s">
        <v>197</v>
      </c>
    </row>
    <row r="5" spans="1:5" ht="45">
      <c r="A5" s="558">
        <v>40932</v>
      </c>
      <c r="B5" s="559" t="s">
        <v>167</v>
      </c>
      <c r="C5" s="648" t="s">
        <v>104</v>
      </c>
      <c r="D5" s="649">
        <v>3700</v>
      </c>
      <c r="E5" s="560" t="s">
        <v>233</v>
      </c>
    </row>
    <row r="6" spans="1:5" ht="30">
      <c r="A6" s="558">
        <v>40932</v>
      </c>
      <c r="B6" s="559" t="s">
        <v>106</v>
      </c>
      <c r="C6" s="648" t="s">
        <v>107</v>
      </c>
      <c r="D6" s="649">
        <v>1000</v>
      </c>
      <c r="E6" s="560" t="s">
        <v>108</v>
      </c>
    </row>
    <row r="7" spans="1:5" ht="30">
      <c r="A7" s="558">
        <v>30.01</v>
      </c>
      <c r="B7" s="559" t="s">
        <v>109</v>
      </c>
      <c r="C7" s="648" t="s">
        <v>107</v>
      </c>
      <c r="D7" s="649">
        <v>500</v>
      </c>
      <c r="E7" s="560" t="s">
        <v>110</v>
      </c>
    </row>
    <row r="8" spans="1:5" ht="15">
      <c r="A8" s="558">
        <v>40954</v>
      </c>
      <c r="B8" s="559" t="s">
        <v>111</v>
      </c>
      <c r="C8" s="648" t="s">
        <v>112</v>
      </c>
      <c r="D8" s="649">
        <v>2600</v>
      </c>
      <c r="E8" s="560" t="s">
        <v>110</v>
      </c>
    </row>
    <row r="9" spans="1:5" ht="15">
      <c r="A9" s="558">
        <v>40954</v>
      </c>
      <c r="B9" s="559" t="s">
        <v>114</v>
      </c>
      <c r="C9" s="648" t="s">
        <v>113</v>
      </c>
      <c r="D9" s="649">
        <v>31320</v>
      </c>
      <c r="E9" s="560" t="s">
        <v>115</v>
      </c>
    </row>
    <row r="10" spans="1:5" ht="30">
      <c r="A10" s="558">
        <v>40980</v>
      </c>
      <c r="B10" s="559" t="s">
        <v>206</v>
      </c>
      <c r="C10" s="648" t="s">
        <v>116</v>
      </c>
      <c r="D10" s="649">
        <v>24150</v>
      </c>
      <c r="E10" s="592" t="s">
        <v>168</v>
      </c>
    </row>
    <row r="11" spans="1:5" ht="30">
      <c r="A11" s="558">
        <v>40980</v>
      </c>
      <c r="B11" s="559" t="s">
        <v>117</v>
      </c>
      <c r="C11" s="648" t="s">
        <v>232</v>
      </c>
      <c r="D11" s="649">
        <v>7000</v>
      </c>
      <c r="E11" s="560" t="s">
        <v>118</v>
      </c>
    </row>
    <row r="12" spans="1:5" ht="15">
      <c r="A12" s="558">
        <v>41027</v>
      </c>
      <c r="B12" s="559" t="s">
        <v>119</v>
      </c>
      <c r="C12" s="648" t="s">
        <v>120</v>
      </c>
      <c r="D12" s="649">
        <v>6430</v>
      </c>
      <c r="E12" s="560" t="s">
        <v>121</v>
      </c>
    </row>
    <row r="13" spans="1:5" ht="30">
      <c r="A13" s="558">
        <v>41027</v>
      </c>
      <c r="B13" s="559" t="s">
        <v>122</v>
      </c>
      <c r="C13" s="648" t="s">
        <v>116</v>
      </c>
      <c r="D13" s="649">
        <v>3420</v>
      </c>
      <c r="E13" s="560" t="s">
        <v>123</v>
      </c>
    </row>
    <row r="14" spans="1:5" ht="30">
      <c r="A14" s="558">
        <v>41032</v>
      </c>
      <c r="B14" s="559" t="s">
        <v>207</v>
      </c>
      <c r="C14" s="648" t="s">
        <v>116</v>
      </c>
      <c r="D14" s="649">
        <v>14431</v>
      </c>
      <c r="E14" s="592" t="s">
        <v>168</v>
      </c>
    </row>
    <row r="15" spans="1:5" ht="15">
      <c r="A15" s="558">
        <v>41032</v>
      </c>
      <c r="B15" s="559" t="s">
        <v>124</v>
      </c>
      <c r="C15" s="648" t="s">
        <v>116</v>
      </c>
      <c r="D15" s="649">
        <v>2800</v>
      </c>
      <c r="E15" s="560" t="s">
        <v>125</v>
      </c>
    </row>
    <row r="16" spans="1:5" ht="30">
      <c r="A16" s="558">
        <v>41032</v>
      </c>
      <c r="B16" s="559" t="s">
        <v>126</v>
      </c>
      <c r="C16" s="648" t="s">
        <v>116</v>
      </c>
      <c r="D16" s="649">
        <v>2160</v>
      </c>
      <c r="E16" s="560" t="s">
        <v>127</v>
      </c>
    </row>
    <row r="17" spans="1:5" ht="30">
      <c r="A17" s="558">
        <v>41034</v>
      </c>
      <c r="B17" s="559" t="s">
        <v>208</v>
      </c>
      <c r="C17" s="648" t="s">
        <v>116</v>
      </c>
      <c r="D17" s="649">
        <v>68380</v>
      </c>
      <c r="E17" s="592" t="s">
        <v>168</v>
      </c>
    </row>
    <row r="18" spans="1:5" ht="15">
      <c r="A18" s="558">
        <v>41034</v>
      </c>
      <c r="B18" s="559" t="s">
        <v>128</v>
      </c>
      <c r="C18" s="648" t="s">
        <v>116</v>
      </c>
      <c r="D18" s="649">
        <v>25584</v>
      </c>
      <c r="E18" s="560" t="s">
        <v>194</v>
      </c>
    </row>
    <row r="19" spans="1:5" ht="15">
      <c r="A19" s="558">
        <v>41039</v>
      </c>
      <c r="B19" s="559" t="s">
        <v>129</v>
      </c>
      <c r="C19" s="648" t="s">
        <v>116</v>
      </c>
      <c r="D19" s="649">
        <v>5000</v>
      </c>
      <c r="E19" s="560" t="s">
        <v>130</v>
      </c>
    </row>
    <row r="20" spans="1:5" ht="15">
      <c r="A20" s="558">
        <v>41405</v>
      </c>
      <c r="B20" s="559" t="s">
        <v>234</v>
      </c>
      <c r="C20" s="648" t="s">
        <v>101</v>
      </c>
      <c r="D20" s="649">
        <v>1134</v>
      </c>
      <c r="E20" s="560" t="s">
        <v>235</v>
      </c>
    </row>
    <row r="21" spans="1:5" ht="15">
      <c r="A21" s="558">
        <v>41045</v>
      </c>
      <c r="B21" s="559" t="s">
        <v>133</v>
      </c>
      <c r="C21" s="648" t="s">
        <v>131</v>
      </c>
      <c r="D21" s="649">
        <v>11558</v>
      </c>
      <c r="E21" s="560" t="s">
        <v>132</v>
      </c>
    </row>
    <row r="22" spans="1:5" ht="30">
      <c r="A22" s="558">
        <v>41047</v>
      </c>
      <c r="B22" s="559" t="s">
        <v>135</v>
      </c>
      <c r="C22" s="648" t="s">
        <v>173</v>
      </c>
      <c r="D22" s="649">
        <v>800</v>
      </c>
      <c r="E22" s="560" t="s">
        <v>134</v>
      </c>
    </row>
    <row r="23" spans="1:5" ht="45">
      <c r="A23" s="558">
        <v>41050</v>
      </c>
      <c r="B23" s="559" t="s">
        <v>136</v>
      </c>
      <c r="C23" s="648" t="s">
        <v>137</v>
      </c>
      <c r="D23" s="649">
        <v>10141</v>
      </c>
      <c r="E23" s="560" t="s">
        <v>226</v>
      </c>
    </row>
    <row r="24" spans="1:5" ht="45">
      <c r="A24" s="558">
        <v>41057</v>
      </c>
      <c r="B24" s="559" t="s">
        <v>138</v>
      </c>
      <c r="C24" s="648" t="s">
        <v>139</v>
      </c>
      <c r="D24" s="649">
        <v>32920</v>
      </c>
      <c r="E24" s="593" t="s">
        <v>169</v>
      </c>
    </row>
    <row r="25" spans="1:5" ht="45">
      <c r="A25" s="558">
        <v>41057</v>
      </c>
      <c r="B25" s="559" t="s">
        <v>203</v>
      </c>
      <c r="C25" s="648" t="s">
        <v>141</v>
      </c>
      <c r="D25" s="649">
        <v>26500</v>
      </c>
      <c r="E25" s="593" t="s">
        <v>169</v>
      </c>
    </row>
    <row r="26" spans="1:5" ht="30">
      <c r="A26" s="558">
        <v>41075</v>
      </c>
      <c r="B26" s="559" t="s">
        <v>142</v>
      </c>
      <c r="C26" s="648" t="s">
        <v>239</v>
      </c>
      <c r="D26" s="649">
        <v>11145</v>
      </c>
      <c r="E26" s="560" t="s">
        <v>227</v>
      </c>
    </row>
    <row r="27" spans="1:5" ht="30">
      <c r="A27" s="558">
        <v>41075</v>
      </c>
      <c r="B27" s="559" t="s">
        <v>143</v>
      </c>
      <c r="C27" s="648" t="s">
        <v>239</v>
      </c>
      <c r="D27" s="649">
        <v>10955</v>
      </c>
      <c r="E27" s="560" t="s">
        <v>197</v>
      </c>
    </row>
    <row r="28" spans="1:5" ht="45">
      <c r="A28" s="558">
        <v>41080</v>
      </c>
      <c r="B28" s="559" t="s">
        <v>204</v>
      </c>
      <c r="C28" s="648" t="s">
        <v>116</v>
      </c>
      <c r="D28" s="649">
        <v>20400</v>
      </c>
      <c r="E28" s="593" t="s">
        <v>169</v>
      </c>
    </row>
    <row r="29" spans="1:5" ht="15">
      <c r="A29" s="558">
        <v>41080</v>
      </c>
      <c r="B29" s="559" t="s">
        <v>236</v>
      </c>
      <c r="C29" s="648" t="s">
        <v>116</v>
      </c>
      <c r="D29" s="649">
        <v>12000</v>
      </c>
      <c r="E29" s="593" t="s">
        <v>168</v>
      </c>
    </row>
    <row r="30" spans="1:5" ht="30">
      <c r="A30" s="558">
        <v>41092</v>
      </c>
      <c r="B30" s="559" t="s">
        <v>144</v>
      </c>
      <c r="C30" s="648" t="s">
        <v>116</v>
      </c>
      <c r="D30" s="649">
        <v>9950</v>
      </c>
      <c r="E30" s="560" t="s">
        <v>197</v>
      </c>
    </row>
    <row r="31" spans="1:5" ht="30">
      <c r="A31" s="558">
        <v>41094</v>
      </c>
      <c r="B31" s="559" t="s">
        <v>114</v>
      </c>
      <c r="C31" s="648" t="s">
        <v>145</v>
      </c>
      <c r="D31" s="649">
        <v>28800</v>
      </c>
      <c r="E31" s="560" t="s">
        <v>146</v>
      </c>
    </row>
    <row r="32" spans="1:5" ht="45">
      <c r="A32" s="558">
        <v>41113</v>
      </c>
      <c r="B32" s="559" t="s">
        <v>198</v>
      </c>
      <c r="C32" s="648" t="s">
        <v>116</v>
      </c>
      <c r="D32" s="649">
        <v>21893.2</v>
      </c>
      <c r="E32" s="560" t="s">
        <v>412</v>
      </c>
    </row>
    <row r="33" spans="1:5" ht="30">
      <c r="A33" s="558">
        <v>41113</v>
      </c>
      <c r="B33" s="559" t="s">
        <v>243</v>
      </c>
      <c r="C33" s="648" t="s">
        <v>147</v>
      </c>
      <c r="D33" s="649">
        <v>3327.84</v>
      </c>
      <c r="E33" s="560" t="s">
        <v>197</v>
      </c>
    </row>
    <row r="34" spans="1:5" ht="30">
      <c r="A34" s="558">
        <v>41113</v>
      </c>
      <c r="B34" s="559" t="s">
        <v>148</v>
      </c>
      <c r="C34" s="648"/>
      <c r="D34" s="649">
        <v>3000</v>
      </c>
      <c r="E34" s="560" t="s">
        <v>149</v>
      </c>
    </row>
    <row r="35" spans="1:5" ht="15">
      <c r="A35" s="558">
        <v>41113</v>
      </c>
      <c r="B35" s="559" t="s">
        <v>150</v>
      </c>
      <c r="C35" s="648" t="s">
        <v>151</v>
      </c>
      <c r="D35" s="649">
        <v>1215</v>
      </c>
      <c r="E35" s="560" t="s">
        <v>152</v>
      </c>
    </row>
    <row r="36" spans="1:5" ht="30">
      <c r="A36" s="558">
        <v>41114</v>
      </c>
      <c r="B36" s="559" t="s">
        <v>170</v>
      </c>
      <c r="C36" s="648" t="s">
        <v>216</v>
      </c>
      <c r="D36" s="649">
        <v>3510</v>
      </c>
      <c r="E36" s="560" t="s">
        <v>210</v>
      </c>
    </row>
    <row r="37" spans="1:5" ht="30">
      <c r="A37" s="558">
        <v>41124</v>
      </c>
      <c r="B37" s="559" t="s">
        <v>153</v>
      </c>
      <c r="C37" s="648" t="s">
        <v>239</v>
      </c>
      <c r="D37" s="649">
        <v>37150</v>
      </c>
      <c r="E37" s="560" t="s">
        <v>228</v>
      </c>
    </row>
    <row r="38" spans="1:5" ht="45">
      <c r="A38" s="558">
        <v>41127</v>
      </c>
      <c r="B38" s="559" t="s">
        <v>209</v>
      </c>
      <c r="C38" s="648" t="s">
        <v>116</v>
      </c>
      <c r="D38" s="649">
        <v>87970</v>
      </c>
      <c r="E38" s="592" t="s">
        <v>168</v>
      </c>
    </row>
    <row r="39" spans="1:5" ht="45">
      <c r="A39" s="558">
        <v>41131</v>
      </c>
      <c r="B39" s="559" t="s">
        <v>154</v>
      </c>
      <c r="C39" s="648" t="s">
        <v>139</v>
      </c>
      <c r="D39" s="649">
        <v>4740</v>
      </c>
      <c r="E39" s="593" t="s">
        <v>169</v>
      </c>
    </row>
    <row r="40" spans="1:5" ht="45">
      <c r="A40" s="558">
        <v>41136</v>
      </c>
      <c r="B40" s="559" t="s">
        <v>155</v>
      </c>
      <c r="C40" s="648" t="s">
        <v>156</v>
      </c>
      <c r="D40" s="649">
        <v>33250</v>
      </c>
      <c r="E40" s="593" t="s">
        <v>169</v>
      </c>
    </row>
    <row r="41" spans="1:5" ht="15">
      <c r="A41" s="558">
        <v>41156</v>
      </c>
      <c r="B41" s="559" t="s">
        <v>158</v>
      </c>
      <c r="C41" s="648" t="s">
        <v>157</v>
      </c>
      <c r="D41" s="649">
        <v>1400</v>
      </c>
      <c r="E41" s="560" t="s">
        <v>110</v>
      </c>
    </row>
    <row r="42" spans="1:5" ht="30">
      <c r="A42" s="558">
        <v>41171</v>
      </c>
      <c r="B42" s="559" t="s">
        <v>159</v>
      </c>
      <c r="C42" s="648" t="s">
        <v>156</v>
      </c>
      <c r="D42" s="649">
        <v>19900</v>
      </c>
      <c r="E42" s="560" t="s">
        <v>205</v>
      </c>
    </row>
    <row r="43" spans="1:5" ht="30">
      <c r="A43" s="558">
        <v>41171</v>
      </c>
      <c r="B43" s="559" t="s">
        <v>160</v>
      </c>
      <c r="C43" s="648" t="s">
        <v>161</v>
      </c>
      <c r="D43" s="649">
        <v>3000</v>
      </c>
      <c r="E43" s="560" t="s">
        <v>162</v>
      </c>
    </row>
    <row r="44" spans="1:5" ht="15">
      <c r="A44" s="558"/>
      <c r="B44" s="559"/>
      <c r="C44" s="648"/>
      <c r="D44" s="649"/>
      <c r="E44" s="560"/>
    </row>
    <row r="45" spans="1:5" ht="15">
      <c r="A45" s="558"/>
      <c r="B45" s="559" t="s">
        <v>173</v>
      </c>
      <c r="C45" s="648" t="s">
        <v>182</v>
      </c>
      <c r="D45" s="649">
        <v>300</v>
      </c>
      <c r="E45" s="560" t="s">
        <v>202</v>
      </c>
    </row>
    <row r="46" spans="1:5" ht="15">
      <c r="A46" s="587">
        <v>41173</v>
      </c>
      <c r="B46" s="559" t="s">
        <v>285</v>
      </c>
      <c r="C46" s="648" t="s">
        <v>286</v>
      </c>
      <c r="D46" s="649">
        <v>5320</v>
      </c>
      <c r="E46" s="560" t="s">
        <v>229</v>
      </c>
    </row>
    <row r="47" spans="1:5" ht="15">
      <c r="A47" s="558">
        <v>41173</v>
      </c>
      <c r="B47" s="559" t="s">
        <v>175</v>
      </c>
      <c r="C47" s="648" t="s">
        <v>101</v>
      </c>
      <c r="D47" s="649">
        <v>3500</v>
      </c>
      <c r="E47" s="560" t="s">
        <v>229</v>
      </c>
    </row>
    <row r="48" spans="1:5" ht="30">
      <c r="A48" s="558">
        <v>41186</v>
      </c>
      <c r="B48" s="559" t="s">
        <v>176</v>
      </c>
      <c r="C48" s="648" t="s">
        <v>101</v>
      </c>
      <c r="D48" s="649">
        <v>3200</v>
      </c>
      <c r="E48" s="560" t="s">
        <v>210</v>
      </c>
    </row>
    <row r="49" spans="1:5" ht="15">
      <c r="A49" s="558">
        <v>41186</v>
      </c>
      <c r="B49" s="559" t="s">
        <v>114</v>
      </c>
      <c r="C49" s="648" t="s">
        <v>113</v>
      </c>
      <c r="D49" s="649">
        <v>33480</v>
      </c>
      <c r="E49" s="560"/>
    </row>
    <row r="50" spans="1:5" ht="15">
      <c r="A50" s="558">
        <v>41190</v>
      </c>
      <c r="B50" s="559" t="s">
        <v>177</v>
      </c>
      <c r="C50" s="648" t="s">
        <v>165</v>
      </c>
      <c r="D50" s="649">
        <v>100000</v>
      </c>
      <c r="E50" s="592" t="s">
        <v>168</v>
      </c>
    </row>
    <row r="51" spans="1:5" ht="15">
      <c r="A51" s="558">
        <v>41207</v>
      </c>
      <c r="B51" s="559" t="s">
        <v>177</v>
      </c>
      <c r="C51" s="648" t="s">
        <v>165</v>
      </c>
      <c r="D51" s="649">
        <v>50000</v>
      </c>
      <c r="E51" s="592" t="s">
        <v>168</v>
      </c>
    </row>
    <row r="52" spans="1:5" ht="15">
      <c r="A52" s="558">
        <v>41199</v>
      </c>
      <c r="B52" s="559" t="s">
        <v>179</v>
      </c>
      <c r="C52" s="648" t="s">
        <v>180</v>
      </c>
      <c r="D52" s="649">
        <v>1500</v>
      </c>
      <c r="E52" s="560" t="s">
        <v>202</v>
      </c>
    </row>
    <row r="53" spans="1:5" ht="45">
      <c r="A53" s="558">
        <v>41194</v>
      </c>
      <c r="B53" s="559" t="s">
        <v>212</v>
      </c>
      <c r="C53" s="648" t="s">
        <v>116</v>
      </c>
      <c r="D53" s="649">
        <v>17860</v>
      </c>
      <c r="E53" s="592" t="s">
        <v>168</v>
      </c>
    </row>
    <row r="54" spans="1:5" ht="15">
      <c r="A54" s="558">
        <v>41207</v>
      </c>
      <c r="B54" s="559" t="s">
        <v>166</v>
      </c>
      <c r="C54" s="648" t="s">
        <v>174</v>
      </c>
      <c r="D54" s="650">
        <v>10764</v>
      </c>
      <c r="E54" s="560" t="s">
        <v>213</v>
      </c>
    </row>
    <row r="55" spans="1:5" ht="30">
      <c r="A55" s="558">
        <v>41199</v>
      </c>
      <c r="B55" s="559" t="s">
        <v>181</v>
      </c>
      <c r="C55" s="648" t="s">
        <v>116</v>
      </c>
      <c r="D55" s="649">
        <v>18280</v>
      </c>
      <c r="E55" s="560" t="s">
        <v>214</v>
      </c>
    </row>
    <row r="56" spans="1:5" ht="45">
      <c r="A56" s="558">
        <v>41221</v>
      </c>
      <c r="B56" s="559" t="s">
        <v>217</v>
      </c>
      <c r="C56" s="648" t="s">
        <v>183</v>
      </c>
      <c r="D56" s="649">
        <v>1800</v>
      </c>
      <c r="E56" s="560" t="s">
        <v>230</v>
      </c>
    </row>
    <row r="57" spans="1:5" ht="30">
      <c r="A57" s="558">
        <v>41225</v>
      </c>
      <c r="B57" s="559" t="s">
        <v>200</v>
      </c>
      <c r="C57" s="648" t="s">
        <v>184</v>
      </c>
      <c r="D57" s="649">
        <v>3500</v>
      </c>
      <c r="E57" s="560" t="s">
        <v>202</v>
      </c>
    </row>
    <row r="58" spans="1:5" ht="30">
      <c r="A58" s="558">
        <v>41225</v>
      </c>
      <c r="B58" s="559" t="s">
        <v>201</v>
      </c>
      <c r="C58" s="648" t="s">
        <v>184</v>
      </c>
      <c r="D58" s="649">
        <f>4300+5500</f>
        <v>9800</v>
      </c>
      <c r="E58" s="560" t="s">
        <v>202</v>
      </c>
    </row>
    <row r="59" spans="1:5" ht="15">
      <c r="A59" s="558">
        <v>41233</v>
      </c>
      <c r="B59" s="559" t="s">
        <v>185</v>
      </c>
      <c r="C59" s="648" t="s">
        <v>101</v>
      </c>
      <c r="D59" s="649">
        <v>10015</v>
      </c>
      <c r="E59" s="588" t="s">
        <v>238</v>
      </c>
    </row>
    <row r="60" spans="1:5" ht="30">
      <c r="A60" s="558">
        <v>41234</v>
      </c>
      <c r="B60" s="559" t="s">
        <v>163</v>
      </c>
      <c r="C60" s="648" t="s">
        <v>156</v>
      </c>
      <c r="D60" s="649">
        <v>4900</v>
      </c>
      <c r="E60" s="560" t="s">
        <v>231</v>
      </c>
    </row>
    <row r="61" spans="1:5" ht="15">
      <c r="A61" s="558">
        <v>41234</v>
      </c>
      <c r="B61" s="559" t="s">
        <v>164</v>
      </c>
      <c r="C61" s="648" t="s">
        <v>156</v>
      </c>
      <c r="D61" s="649">
        <v>8200</v>
      </c>
      <c r="E61" s="560" t="s">
        <v>202</v>
      </c>
    </row>
    <row r="62" spans="1:5" ht="30">
      <c r="A62" s="558">
        <v>41234</v>
      </c>
      <c r="B62" s="559" t="s">
        <v>211</v>
      </c>
      <c r="C62" s="648" t="s">
        <v>186</v>
      </c>
      <c r="D62" s="649">
        <v>34320</v>
      </c>
      <c r="E62" s="592" t="s">
        <v>168</v>
      </c>
    </row>
    <row r="63" spans="1:5" ht="15">
      <c r="A63" s="558">
        <v>41257</v>
      </c>
      <c r="B63" s="559" t="s">
        <v>190</v>
      </c>
      <c r="C63" s="648" t="s">
        <v>189</v>
      </c>
      <c r="D63" s="649">
        <v>4200</v>
      </c>
      <c r="E63" s="560" t="s">
        <v>202</v>
      </c>
    </row>
    <row r="64" spans="1:5" ht="30">
      <c r="A64" s="558">
        <v>41247</v>
      </c>
      <c r="B64" s="559" t="s">
        <v>187</v>
      </c>
      <c r="C64" s="648" t="s">
        <v>165</v>
      </c>
      <c r="D64" s="649">
        <v>50000</v>
      </c>
      <c r="E64" s="592" t="s">
        <v>168</v>
      </c>
    </row>
    <row r="65" spans="1:5" ht="45">
      <c r="A65" s="558">
        <v>41253</v>
      </c>
      <c r="B65" s="559" t="s">
        <v>188</v>
      </c>
      <c r="C65" s="648" t="s">
        <v>240</v>
      </c>
      <c r="D65" s="649">
        <v>17675.8</v>
      </c>
      <c r="E65" s="593" t="s">
        <v>169</v>
      </c>
    </row>
    <row r="66" spans="1:5" ht="45">
      <c r="A66" s="558">
        <v>41253</v>
      </c>
      <c r="B66" s="559" t="s">
        <v>193</v>
      </c>
      <c r="C66" s="648" t="s">
        <v>240</v>
      </c>
      <c r="D66" s="649">
        <v>15000</v>
      </c>
      <c r="E66" s="593" t="s">
        <v>169</v>
      </c>
    </row>
    <row r="67" spans="1:5" ht="45">
      <c r="A67" s="558">
        <v>41225</v>
      </c>
      <c r="B67" s="559" t="s">
        <v>191</v>
      </c>
      <c r="C67" s="648" t="s">
        <v>241</v>
      </c>
      <c r="D67" s="649">
        <v>14544</v>
      </c>
      <c r="E67" s="560" t="s">
        <v>202</v>
      </c>
    </row>
    <row r="68" spans="1:5" ht="30">
      <c r="A68" s="585">
        <v>41263</v>
      </c>
      <c r="B68" s="586" t="s">
        <v>192</v>
      </c>
      <c r="C68" s="651" t="s">
        <v>165</v>
      </c>
      <c r="D68" s="652">
        <v>46876.77</v>
      </c>
      <c r="E68" s="594" t="s">
        <v>168</v>
      </c>
    </row>
    <row r="69" spans="1:5" ht="15">
      <c r="A69" s="587">
        <v>41269</v>
      </c>
      <c r="B69" s="559" t="s">
        <v>237</v>
      </c>
      <c r="C69" s="648" t="s">
        <v>116</v>
      </c>
      <c r="D69" s="649">
        <v>7600</v>
      </c>
      <c r="E69" s="588" t="s">
        <v>238</v>
      </c>
    </row>
  </sheetData>
  <sheetProtection/>
  <mergeCells count="1">
    <mergeCell ref="B1:C1"/>
  </mergeCells>
  <printOptions/>
  <pageMargins left="0.35" right="0.2" top="0.34" bottom="0.37" header="0.19" footer="0.2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10"/>
  <sheetViews>
    <sheetView zoomScalePageLayoutView="0" workbookViewId="0" topLeftCell="A1">
      <selection activeCell="C23" sqref="C23"/>
    </sheetView>
  </sheetViews>
  <sheetFormatPr defaultColWidth="9.00390625" defaultRowHeight="12.75"/>
  <cols>
    <col min="2" max="2" width="38.625" style="0" customWidth="1"/>
    <col min="3" max="3" width="23.75390625" style="0" customWidth="1"/>
    <col min="4" max="4" width="21.125" style="0" customWidth="1"/>
  </cols>
  <sheetData>
    <row r="1" spans="2:4" ht="16.5" thickBot="1">
      <c r="B1" s="1114" t="s">
        <v>284</v>
      </c>
      <c r="C1" s="1115"/>
      <c r="D1" s="1116"/>
    </row>
    <row r="2" spans="1:4" s="635" customFormat="1" ht="44.25" thickBot="1">
      <c r="A2" s="643"/>
      <c r="B2" s="663">
        <v>2012</v>
      </c>
      <c r="C2" s="644" t="s">
        <v>282</v>
      </c>
      <c r="D2" s="664" t="s">
        <v>283</v>
      </c>
    </row>
    <row r="3" spans="1:4" s="561" customFormat="1" ht="15">
      <c r="A3" s="562"/>
      <c r="B3" s="565" t="s">
        <v>269</v>
      </c>
      <c r="C3" s="655">
        <v>1976943</v>
      </c>
      <c r="D3" s="656">
        <v>1941602</v>
      </c>
    </row>
    <row r="4" spans="1:4" s="561" customFormat="1" ht="15">
      <c r="A4" s="562"/>
      <c r="B4" s="566" t="s">
        <v>270</v>
      </c>
      <c r="C4" s="648">
        <v>191070</v>
      </c>
      <c r="D4" s="657">
        <v>187494</v>
      </c>
    </row>
    <row r="5" spans="1:4" s="561" customFormat="1" ht="15">
      <c r="A5" s="562"/>
      <c r="B5" s="566" t="s">
        <v>271</v>
      </c>
      <c r="C5" s="648">
        <v>433272</v>
      </c>
      <c r="D5" s="657">
        <v>435455</v>
      </c>
    </row>
    <row r="6" spans="1:4" s="561" customFormat="1" ht="15">
      <c r="A6" s="562"/>
      <c r="B6" s="566" t="s">
        <v>272</v>
      </c>
      <c r="C6" s="648">
        <v>169050</v>
      </c>
      <c r="D6" s="657">
        <v>168293</v>
      </c>
    </row>
    <row r="7" spans="1:4" s="561" customFormat="1" ht="15">
      <c r="A7" s="562"/>
      <c r="B7" s="566" t="s">
        <v>273</v>
      </c>
      <c r="C7" s="648">
        <v>1112666</v>
      </c>
      <c r="D7" s="657">
        <v>1083019</v>
      </c>
    </row>
    <row r="8" spans="1:4" s="561" customFormat="1" ht="15">
      <c r="A8" s="562"/>
      <c r="B8" s="566"/>
      <c r="C8" s="648"/>
      <c r="D8" s="657"/>
    </row>
    <row r="9" spans="1:11" s="561" customFormat="1" ht="15.75" thickBot="1">
      <c r="A9" s="562"/>
      <c r="B9" s="667" t="s">
        <v>85</v>
      </c>
      <c r="C9" s="668">
        <f>SUM(C3:C8)</f>
        <v>3883001</v>
      </c>
      <c r="D9" s="669">
        <f>SUM(D3:D8)</f>
        <v>3815863</v>
      </c>
      <c r="K9" s="666"/>
    </row>
    <row r="10" spans="1:4" s="561" customFormat="1" ht="15">
      <c r="A10" s="562"/>
      <c r="B10" s="563"/>
      <c r="C10" s="653"/>
      <c r="D10" s="654"/>
    </row>
  </sheetData>
  <sheetProtection/>
  <mergeCells count="1">
    <mergeCell ref="B1:D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Юрий</dc:creator>
  <cp:keywords/>
  <dc:description/>
  <cp:lastModifiedBy>7</cp:lastModifiedBy>
  <cp:lastPrinted>2013-03-23T09:55:49Z</cp:lastPrinted>
  <dcterms:created xsi:type="dcterms:W3CDTF">2011-01-29T08:00:37Z</dcterms:created>
  <dcterms:modified xsi:type="dcterms:W3CDTF">2013-03-23T09:58:17Z</dcterms:modified>
  <cp:category/>
  <cp:version/>
  <cp:contentType/>
  <cp:contentStatus/>
</cp:coreProperties>
</file>